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720"/>
  </bookViews>
  <sheets>
    <sheet name="List1" sheetId="1" r:id="rId1"/>
  </sheets>
  <externalReferences>
    <externalReference r:id="rId2"/>
  </externalReferences>
  <definedNames>
    <definedName name="aaaaa" localSheetId="0">DATEVALUE("1/6/"&amp;List1!$C$2)-WEEKDAY(DATEVALUE("1/6/"&amp;List1!$C$2))+2</definedName>
    <definedName name="ahoj" localSheetId="0">DATEVALUE("1/9/"&amp;List1!$C$2)-WEEKDAY(DATEVALUE("1/9/"&amp;List1!$C$2))+2</definedName>
    <definedName name="CC" localSheetId="0">DATEVALUE("1/2/"&amp;List1!$C$2)-WEEKDAY(DATEVALUE("1/2/"&amp;List1!$C$2))+2</definedName>
    <definedName name="CV" localSheetId="0">DATEVALUE("1/4/"&amp;List1!$C$2)-WEEKDAY(DATEVALUE("1/4/"&amp;List1!$C$2))+2</definedName>
    <definedName name="cvi" localSheetId="0">DATEVALUE("1/5/"&amp;List1!$C$2)-WEEKDAY(DATEVALUE("1/5/"&amp;List1!$C$2))+2</definedName>
    <definedName name="Ne1Čvc" localSheetId="0">DATEVALUE("1/7/"&amp;List1!$C$2)-WEEKDAY(DATEVALUE("1/7/"&amp;List1!$C$2))+2</definedName>
    <definedName name="Ne1Led" localSheetId="0">DATEVALUE("1/1/"&amp;List1!$C$2)-WEEKDAY(DATEVALUE("1/1/"&amp;List1!$C$2))+2</definedName>
    <definedName name="Ne1Lis" localSheetId="0">DATEVALUE("1/11/"&amp;List1!$C$2)-WEEKDAY(DATEVALUE("1/11/"&amp;List1!$C$2))+2</definedName>
    <definedName name="Ne1Říj" localSheetId="0">DATEVALUE("1/10/"&amp;List1!$C$2)-WEEKDAY(DATEVALUE("1/10/"&amp;List1!$C$2))+2</definedName>
    <definedName name="Ne1Srp" localSheetId="0">DATEVALUE("1/8/"&amp;List1!$C$2)-WEEKDAY(DATEVALUE("1/8/"&amp;List1!$C$2))-5</definedName>
    <definedName name="ne2br" localSheetId="0">DATEVALUE("1/3/"&amp;List1!$C$2)-WEEKDAY(DATEVALUE("1/3/"&amp;List1!$C$2))+2</definedName>
    <definedName name="Rok" localSheetId="0">List1!$C$2</definedName>
    <definedName name="ZZ">DATEVALUE("1/12/"&amp;'[1]Zákupy 2024'!$C$2)-WEEKDAY(DATEVALUE("1/12/"&amp;'[1]Zákupy 2024'!$C$2))+2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9" i="1" l="1"/>
  <c r="BC29" i="1"/>
  <c r="BA29" i="1"/>
  <c r="AY29" i="1"/>
  <c r="AW29" i="1"/>
  <c r="AU29" i="1"/>
  <c r="AS29" i="1"/>
  <c r="AP29" i="1"/>
  <c r="AO29" i="1"/>
  <c r="AM29" i="1"/>
  <c r="AK29" i="1"/>
  <c r="AI29" i="1"/>
  <c r="AB29" i="1"/>
  <c r="AA29" i="1"/>
  <c r="Y29" i="1"/>
  <c r="W29" i="1"/>
  <c r="U29" i="1"/>
  <c r="S29" i="1"/>
  <c r="Q29" i="1"/>
  <c r="N29" i="1"/>
  <c r="M29" i="1"/>
  <c r="K29" i="1"/>
  <c r="I29" i="1"/>
  <c r="G29" i="1"/>
  <c r="E29" i="1"/>
  <c r="BD28" i="1"/>
  <c r="BC28" i="1"/>
  <c r="BA28" i="1"/>
  <c r="AY28" i="1"/>
  <c r="AP28" i="1"/>
  <c r="AO28" i="1"/>
  <c r="AM28" i="1"/>
  <c r="AK28" i="1"/>
  <c r="AI28" i="1"/>
  <c r="AG28" i="1"/>
  <c r="AE28" i="1"/>
  <c r="AB28" i="1"/>
  <c r="AA28" i="1"/>
  <c r="Y28" i="1"/>
  <c r="W28" i="1"/>
  <c r="U28" i="1"/>
  <c r="S28" i="1"/>
  <c r="Q28" i="1"/>
  <c r="N28" i="1"/>
  <c r="M28" i="1"/>
  <c r="K28" i="1"/>
  <c r="I28" i="1"/>
  <c r="G28" i="1"/>
  <c r="E28" i="1"/>
  <c r="C28" i="1"/>
  <c r="AP27" i="1"/>
  <c r="AO27" i="1"/>
  <c r="AM27" i="1"/>
  <c r="AK27" i="1"/>
  <c r="AI27" i="1"/>
  <c r="AG27" i="1"/>
  <c r="AE27" i="1"/>
  <c r="AB27" i="1"/>
  <c r="AA27" i="1"/>
  <c r="Y27" i="1"/>
  <c r="W27" i="1"/>
  <c r="U27" i="1"/>
  <c r="S27" i="1"/>
  <c r="Q27" i="1"/>
  <c r="N27" i="1"/>
  <c r="M27" i="1"/>
  <c r="K27" i="1"/>
  <c r="I27" i="1"/>
  <c r="G27" i="1"/>
  <c r="E27" i="1"/>
  <c r="C27" i="1"/>
  <c r="AP26" i="1"/>
  <c r="AO26" i="1"/>
  <c r="AM26" i="1"/>
  <c r="AK26" i="1"/>
  <c r="AI26" i="1"/>
  <c r="AG26" i="1"/>
  <c r="AE26" i="1"/>
  <c r="AB26" i="1"/>
  <c r="AA26" i="1"/>
  <c r="Y26" i="1"/>
  <c r="W26" i="1"/>
  <c r="U26" i="1"/>
  <c r="S26" i="1"/>
  <c r="Q26" i="1"/>
  <c r="N26" i="1"/>
  <c r="M26" i="1"/>
  <c r="K26" i="1"/>
  <c r="I26" i="1"/>
  <c r="G26" i="1"/>
  <c r="E26" i="1"/>
  <c r="C26" i="1"/>
  <c r="AP25" i="1"/>
  <c r="AO25" i="1"/>
  <c r="AM25" i="1"/>
  <c r="AK25" i="1"/>
  <c r="AI25" i="1"/>
  <c r="AG25" i="1"/>
  <c r="AE25" i="1"/>
  <c r="AB25" i="1"/>
  <c r="AA25" i="1"/>
  <c r="Y25" i="1"/>
  <c r="W25" i="1"/>
  <c r="U25" i="1"/>
  <c r="S25" i="1"/>
  <c r="Q25" i="1"/>
  <c r="N25" i="1"/>
  <c r="M25" i="1"/>
  <c r="K25" i="1"/>
  <c r="I25" i="1"/>
  <c r="G25" i="1"/>
  <c r="E25" i="1"/>
  <c r="C25" i="1"/>
  <c r="AP24" i="1"/>
  <c r="AO24" i="1"/>
  <c r="AM24" i="1"/>
  <c r="AK24" i="1"/>
  <c r="AI24" i="1"/>
  <c r="AG24" i="1"/>
  <c r="AE24" i="1"/>
  <c r="N24" i="1"/>
  <c r="M24" i="1"/>
  <c r="K24" i="1"/>
  <c r="I24" i="1"/>
  <c r="G24" i="1"/>
  <c r="E24" i="1"/>
  <c r="C24" i="1"/>
  <c r="BD20" i="1"/>
  <c r="BC20" i="1"/>
  <c r="BA20" i="1"/>
  <c r="AY20" i="1"/>
  <c r="AW20" i="1"/>
  <c r="AU20" i="1"/>
  <c r="AS20" i="1"/>
  <c r="AM20" i="1"/>
  <c r="AK20" i="1"/>
  <c r="AI20" i="1"/>
  <c r="AG20" i="1"/>
  <c r="AE20" i="1"/>
  <c r="AB20" i="1"/>
  <c r="AA20" i="1"/>
  <c r="Y20" i="1"/>
  <c r="W20" i="1"/>
  <c r="U20" i="1"/>
  <c r="S20" i="1"/>
  <c r="Q20" i="1"/>
  <c r="N20" i="1"/>
  <c r="M20" i="1"/>
  <c r="K20" i="1"/>
  <c r="I20" i="1"/>
  <c r="G20" i="1"/>
  <c r="E20" i="1"/>
  <c r="C20" i="1"/>
  <c r="BD19" i="1"/>
  <c r="BC19" i="1"/>
  <c r="BA19" i="1"/>
  <c r="AY19" i="1"/>
  <c r="AW19" i="1"/>
  <c r="AU19" i="1"/>
  <c r="AS19" i="1"/>
  <c r="AO19" i="1"/>
  <c r="AM19" i="1"/>
  <c r="AK19" i="1"/>
  <c r="AI19" i="1"/>
  <c r="AG19" i="1"/>
  <c r="AE19" i="1"/>
  <c r="AB19" i="1"/>
  <c r="AA19" i="1"/>
  <c r="Y19" i="1"/>
  <c r="W19" i="1"/>
  <c r="U19" i="1"/>
  <c r="S19" i="1"/>
  <c r="Q19" i="1"/>
  <c r="N19" i="1"/>
  <c r="M19" i="1"/>
  <c r="K19" i="1"/>
  <c r="I19" i="1"/>
  <c r="G19" i="1"/>
  <c r="E19" i="1"/>
  <c r="C19" i="1"/>
  <c r="BD18" i="1"/>
  <c r="BC18" i="1"/>
  <c r="BA18" i="1"/>
  <c r="AY18" i="1"/>
  <c r="AW18" i="1"/>
  <c r="AU18" i="1"/>
  <c r="AS18" i="1"/>
  <c r="AP18" i="1"/>
  <c r="AO18" i="1"/>
  <c r="AM18" i="1"/>
  <c r="AK18" i="1"/>
  <c r="AI18" i="1"/>
  <c r="AG18" i="1"/>
  <c r="AE18" i="1"/>
  <c r="AB18" i="1"/>
  <c r="AA18" i="1"/>
  <c r="Y18" i="1"/>
  <c r="W18" i="1"/>
  <c r="U18" i="1"/>
  <c r="S18" i="1"/>
  <c r="Q18" i="1"/>
  <c r="N18" i="1"/>
  <c r="M18" i="1"/>
  <c r="K18" i="1"/>
  <c r="I18" i="1"/>
  <c r="G18" i="1"/>
  <c r="E18" i="1"/>
  <c r="C18" i="1"/>
  <c r="BD17" i="1"/>
  <c r="BC17" i="1"/>
  <c r="BA17" i="1"/>
  <c r="AY17" i="1"/>
  <c r="AW17" i="1"/>
  <c r="AU17" i="1"/>
  <c r="AS17" i="1"/>
  <c r="AP17" i="1"/>
  <c r="AO17" i="1"/>
  <c r="AM17" i="1"/>
  <c r="AK17" i="1"/>
  <c r="AI17" i="1"/>
  <c r="AG17" i="1"/>
  <c r="AE17" i="1"/>
  <c r="AB17" i="1"/>
  <c r="AA17" i="1"/>
  <c r="Y17" i="1"/>
  <c r="W17" i="1"/>
  <c r="U17" i="1"/>
  <c r="S17" i="1"/>
  <c r="Q17" i="1"/>
  <c r="N17" i="1"/>
  <c r="M17" i="1"/>
  <c r="K17" i="1"/>
  <c r="I17" i="1"/>
  <c r="G17" i="1"/>
  <c r="E17" i="1"/>
  <c r="C17" i="1"/>
  <c r="BD16" i="1"/>
  <c r="BC16" i="1"/>
  <c r="BA16" i="1"/>
  <c r="AY16" i="1"/>
  <c r="AW16" i="1"/>
  <c r="AU16" i="1"/>
  <c r="AS16" i="1"/>
  <c r="AP16" i="1"/>
  <c r="AO16" i="1"/>
  <c r="AM16" i="1"/>
  <c r="AK16" i="1"/>
  <c r="AI16" i="1"/>
  <c r="AG16" i="1"/>
  <c r="AE16" i="1"/>
  <c r="AB16" i="1"/>
  <c r="AA16" i="1"/>
  <c r="Y16" i="1"/>
  <c r="W16" i="1"/>
  <c r="U16" i="1"/>
  <c r="S16" i="1"/>
  <c r="Q16" i="1"/>
  <c r="N16" i="1"/>
  <c r="M16" i="1"/>
  <c r="K16" i="1"/>
  <c r="I16" i="1"/>
  <c r="G16" i="1"/>
  <c r="E16" i="1"/>
  <c r="C16" i="1"/>
  <c r="BD15" i="1"/>
  <c r="BC15" i="1"/>
  <c r="BA15" i="1"/>
  <c r="AY15" i="1"/>
  <c r="AW15" i="1"/>
  <c r="AU15" i="1"/>
  <c r="AS15" i="1"/>
  <c r="AP15" i="1"/>
  <c r="AO15" i="1"/>
  <c r="AM15" i="1"/>
  <c r="AK15" i="1"/>
  <c r="AI15" i="1"/>
  <c r="AG15" i="1"/>
  <c r="AE15" i="1"/>
  <c r="AB15" i="1"/>
  <c r="AA15" i="1"/>
  <c r="Y15" i="1"/>
  <c r="W15" i="1"/>
  <c r="U15" i="1"/>
  <c r="S15" i="1"/>
  <c r="Q15" i="1"/>
  <c r="N15" i="1"/>
  <c r="M15" i="1"/>
  <c r="K15" i="1"/>
  <c r="I15" i="1"/>
  <c r="G15" i="1"/>
  <c r="E15" i="1"/>
  <c r="C15" i="1"/>
  <c r="BD11" i="1"/>
  <c r="BC11" i="1"/>
  <c r="BA11" i="1"/>
  <c r="AY11" i="1"/>
  <c r="AW11" i="1"/>
  <c r="AU11" i="1"/>
  <c r="AS11" i="1"/>
  <c r="AP11" i="1"/>
  <c r="AO11" i="1"/>
  <c r="AM11" i="1"/>
  <c r="AK11" i="1"/>
  <c r="AI11" i="1"/>
  <c r="AG11" i="1"/>
  <c r="AE11" i="1"/>
  <c r="AB11" i="1"/>
  <c r="AA11" i="1"/>
  <c r="Y11" i="1"/>
  <c r="W11" i="1"/>
  <c r="U11" i="1"/>
  <c r="S11" i="1"/>
  <c r="Q11" i="1"/>
  <c r="N11" i="1"/>
  <c r="M11" i="1"/>
  <c r="K11" i="1"/>
  <c r="I11" i="1"/>
  <c r="G11" i="1"/>
  <c r="E11" i="1"/>
  <c r="C11" i="1"/>
  <c r="BD10" i="1"/>
  <c r="BC10" i="1"/>
  <c r="AY10" i="1"/>
  <c r="AW10" i="1"/>
  <c r="AU10" i="1"/>
  <c r="AS10" i="1"/>
  <c r="AI10" i="1"/>
  <c r="AG10" i="1"/>
  <c r="AE10" i="1"/>
  <c r="AB10" i="1"/>
  <c r="AA10" i="1"/>
  <c r="Y10" i="1"/>
  <c r="W10" i="1"/>
  <c r="U10" i="1"/>
  <c r="S10" i="1"/>
  <c r="Q10" i="1"/>
  <c r="G10" i="1"/>
  <c r="E10" i="1"/>
  <c r="C10" i="1"/>
  <c r="BD9" i="1"/>
  <c r="BC9" i="1"/>
  <c r="BA9" i="1"/>
  <c r="AY9" i="1"/>
  <c r="AW9" i="1"/>
  <c r="AU9" i="1"/>
  <c r="AS9" i="1"/>
  <c r="AP9" i="1"/>
  <c r="AO9" i="1"/>
  <c r="AM9" i="1"/>
  <c r="AK9" i="1"/>
  <c r="AI9" i="1"/>
  <c r="AG9" i="1"/>
  <c r="AE9" i="1"/>
  <c r="AB9" i="1"/>
  <c r="AA9" i="1"/>
  <c r="Y9" i="1"/>
  <c r="W9" i="1"/>
  <c r="U9" i="1"/>
  <c r="S9" i="1"/>
  <c r="Q9" i="1"/>
  <c r="N9" i="1"/>
  <c r="M9" i="1"/>
  <c r="K9" i="1"/>
  <c r="I9" i="1"/>
  <c r="G9" i="1"/>
  <c r="E9" i="1"/>
  <c r="C9" i="1"/>
  <c r="BD8" i="1"/>
  <c r="BC8" i="1"/>
  <c r="BA8" i="1"/>
  <c r="AY8" i="1"/>
  <c r="AW8" i="1"/>
  <c r="AU8" i="1"/>
  <c r="AS8" i="1"/>
  <c r="AP8" i="1"/>
  <c r="AO8" i="1"/>
  <c r="AM8" i="1"/>
  <c r="AK8" i="1"/>
  <c r="AI8" i="1"/>
  <c r="AG8" i="1"/>
  <c r="AE8" i="1"/>
  <c r="AB8" i="1"/>
  <c r="AA8" i="1"/>
  <c r="Y8" i="1"/>
  <c r="W8" i="1"/>
  <c r="U8" i="1"/>
  <c r="S8" i="1"/>
  <c r="Q8" i="1"/>
  <c r="N8" i="1"/>
  <c r="M8" i="1"/>
  <c r="K8" i="1"/>
  <c r="I8" i="1"/>
  <c r="G8" i="1"/>
  <c r="E8" i="1"/>
  <c r="C8" i="1"/>
  <c r="BD7" i="1"/>
  <c r="BC7" i="1"/>
  <c r="BA7" i="1"/>
  <c r="AY7" i="1"/>
  <c r="AW7" i="1"/>
  <c r="AU7" i="1"/>
  <c r="AS7" i="1"/>
  <c r="AP7" i="1"/>
  <c r="AO7" i="1"/>
  <c r="AM7" i="1"/>
  <c r="AK7" i="1"/>
  <c r="AI7" i="1"/>
  <c r="AG7" i="1"/>
  <c r="AE7" i="1"/>
  <c r="AB7" i="1"/>
  <c r="AA7" i="1"/>
  <c r="Y7" i="1"/>
  <c r="W7" i="1"/>
  <c r="U7" i="1"/>
  <c r="S7" i="1"/>
  <c r="Q7" i="1"/>
  <c r="N7" i="1"/>
  <c r="M7" i="1"/>
  <c r="K7" i="1"/>
  <c r="I7" i="1"/>
  <c r="G7" i="1"/>
  <c r="E7" i="1"/>
  <c r="C7" i="1"/>
  <c r="BD6" i="1"/>
  <c r="BC6" i="1"/>
  <c r="BA6" i="1"/>
  <c r="AY6" i="1"/>
  <c r="AW6" i="1"/>
  <c r="AU6" i="1"/>
  <c r="AS6" i="1"/>
  <c r="AP6" i="1"/>
  <c r="AO6" i="1"/>
  <c r="AM6" i="1"/>
  <c r="AK6" i="1"/>
  <c r="AI6" i="1"/>
  <c r="AG6" i="1"/>
  <c r="AE6" i="1"/>
  <c r="AB6" i="1"/>
  <c r="AA6" i="1"/>
  <c r="Y6" i="1"/>
  <c r="W6" i="1"/>
  <c r="U6" i="1"/>
  <c r="S6" i="1"/>
  <c r="Q6" i="1"/>
  <c r="N6" i="1"/>
  <c r="M6" i="1"/>
  <c r="K6" i="1"/>
  <c r="I6" i="1"/>
  <c r="G6" i="1"/>
  <c r="E6" i="1"/>
  <c r="C6" i="1"/>
  <c r="BD5" i="1"/>
  <c r="BC5" i="1"/>
  <c r="BA5" i="1"/>
  <c r="AY5" i="1"/>
  <c r="AW5" i="1"/>
  <c r="AU5" i="1"/>
  <c r="AS5" i="1"/>
  <c r="AP5" i="1"/>
  <c r="AO5" i="1"/>
  <c r="AM5" i="1"/>
  <c r="AK5" i="1"/>
  <c r="AI5" i="1"/>
  <c r="AG5" i="1"/>
  <c r="AE5" i="1"/>
  <c r="Q5" i="1"/>
  <c r="N5" i="1"/>
  <c r="M5" i="1"/>
  <c r="K5" i="1"/>
  <c r="I5" i="1"/>
  <c r="G5" i="1"/>
  <c r="E5" i="1"/>
  <c r="C5" i="1"/>
</calcChain>
</file>

<file path=xl/sharedStrings.xml><?xml version="1.0" encoding="utf-8"?>
<sst xmlns="http://schemas.openxmlformats.org/spreadsheetml/2006/main" count="137" uniqueCount="29">
  <si>
    <t>Leden</t>
  </si>
  <si>
    <t>týden</t>
  </si>
  <si>
    <t>Duben</t>
  </si>
  <si>
    <t>Červenec</t>
  </si>
  <si>
    <t>Říjen</t>
  </si>
  <si>
    <t>Po</t>
  </si>
  <si>
    <t>Út</t>
  </si>
  <si>
    <t>St</t>
  </si>
  <si>
    <t>Čt</t>
  </si>
  <si>
    <t>Pá</t>
  </si>
  <si>
    <t>So</t>
  </si>
  <si>
    <t>Ne</t>
  </si>
  <si>
    <t>Únor</t>
  </si>
  <si>
    <t>Květen</t>
  </si>
  <si>
    <t>Srpen</t>
  </si>
  <si>
    <t>Listopad</t>
  </si>
  <si>
    <t>Březen</t>
  </si>
  <si>
    <t>Červen</t>
  </si>
  <si>
    <t>Září</t>
  </si>
  <si>
    <t>Prosinec</t>
  </si>
  <si>
    <t>x</t>
  </si>
  <si>
    <t xml:space="preserve"> Svoz plastů - 1x7 středa - veřejné stanoviště</t>
  </si>
  <si>
    <t xml:space="preserve"> Svoz papíru - 1x 7 pátek - veřejné stanovitě</t>
  </si>
  <si>
    <t xml:space="preserve"> Svoz komunálního odpadu - 1x7 pondělí</t>
  </si>
  <si>
    <t xml:space="preserve"> Státní svátky</t>
  </si>
  <si>
    <t xml:space="preserve"> Svoz BIO - čtvrtek dle kalendáře</t>
  </si>
  <si>
    <r>
      <t xml:space="preserve"> Svoz plastů - 1x za 21 dnů - úterý dle kalendáře </t>
    </r>
    <r>
      <rPr>
        <b/>
        <sz val="10"/>
        <rFont val="Aptos Narrow"/>
        <family val="2"/>
        <charset val="238"/>
        <scheme val="minor"/>
      </rPr>
      <t xml:space="preserve">DTD </t>
    </r>
  </si>
  <si>
    <r>
      <t xml:space="preserve"> Svoz papíru - 1x 28 měsíčně - čtvrtek dle kalendáře </t>
    </r>
    <r>
      <rPr>
        <b/>
        <sz val="10"/>
        <rFont val="Aptos Narrow"/>
        <family val="2"/>
        <charset val="238"/>
        <scheme val="minor"/>
      </rPr>
      <t>DTD</t>
    </r>
  </si>
  <si>
    <t xml:space="preserve">             Svozový kalendář pro komunální a tříděné odpady pro rok 2025 - Skalice u České Lípy                                                                                              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</si>
</sst>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1"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8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sz val="15"/>
      <name val="Aptos Narrow"/>
      <family val="2"/>
      <charset val="238"/>
      <scheme val="minor"/>
    </font>
    <font>
      <b/>
      <sz val="8"/>
      <name val="Aptos Display"/>
      <family val="1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2BDFB"/>
        <bgColor indexed="64"/>
      </patternFill>
    </fill>
    <fill>
      <patternFill patternType="solid">
        <fgColor rgb="FF80A9A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Font="0" applyFill="0" applyBorder="0">
      <alignment horizontal="center"/>
    </xf>
    <xf numFmtId="164" fontId="3" fillId="0" borderId="0" applyFont="0" applyFill="0" applyBorder="0">
      <alignment horizontal="right"/>
    </xf>
    <xf numFmtId="0" fontId="3" fillId="0" borderId="0"/>
  </cellStyleXfs>
  <cellXfs count="97">
    <xf numFmtId="0" fontId="0" fillId="0" borderId="0" xfId="0"/>
    <xf numFmtId="0" fontId="1" fillId="0" borderId="0" xfId="1" applyAlignment="1">
      <alignment horizontal="center" vertical="center"/>
    </xf>
    <xf numFmtId="0" fontId="0" fillId="0" borderId="2" xfId="3" applyFont="1" applyBorder="1" applyAlignment="1">
      <alignment horizontal="centerContinuous"/>
    </xf>
    <xf numFmtId="164" fontId="3" fillId="0" borderId="3" xfId="4" applyBorder="1">
      <alignment horizontal="right"/>
    </xf>
    <xf numFmtId="164" fontId="3" fillId="0" borderId="5" xfId="4" applyBorder="1">
      <alignment horizontal="right"/>
    </xf>
    <xf numFmtId="164" fontId="3" fillId="0" borderId="4" xfId="4" applyBorder="1">
      <alignment horizontal="right"/>
    </xf>
    <xf numFmtId="164" fontId="3" fillId="0" borderId="7" xfId="4" applyFill="1" applyBorder="1" applyAlignment="1">
      <alignment horizontal="centerContinuous"/>
    </xf>
    <xf numFmtId="164" fontId="3" fillId="0" borderId="8" xfId="4" applyFill="1" applyBorder="1" applyAlignment="1">
      <alignment horizontal="centerContinuous"/>
    </xf>
    <xf numFmtId="164" fontId="3" fillId="0" borderId="5" xfId="4" applyFill="1" applyBorder="1" applyAlignment="1">
      <alignment horizontal="centerContinuous"/>
    </xf>
    <xf numFmtId="164" fontId="3" fillId="0" borderId="2" xfId="4" applyFill="1" applyBorder="1" applyAlignment="1">
      <alignment horizontal="centerContinuous"/>
    </xf>
    <xf numFmtId="164" fontId="3" fillId="3" borderId="2" xfId="4" applyFill="1" applyBorder="1">
      <alignment horizontal="right"/>
    </xf>
    <xf numFmtId="164" fontId="3" fillId="4" borderId="2" xfId="4" applyFill="1" applyBorder="1">
      <alignment horizontal="right"/>
    </xf>
    <xf numFmtId="164" fontId="3" fillId="2" borderId="2" xfId="4" applyFill="1" applyBorder="1">
      <alignment horizontal="right"/>
    </xf>
    <xf numFmtId="0" fontId="0" fillId="3" borderId="2" xfId="3" applyFont="1" applyFill="1" applyBorder="1" applyAlignment="1">
      <alignment horizontal="right"/>
    </xf>
    <xf numFmtId="0" fontId="0" fillId="4" borderId="2" xfId="3" applyFont="1" applyFill="1" applyBorder="1" applyAlignment="1">
      <alignment horizontal="right"/>
    </xf>
    <xf numFmtId="0" fontId="0" fillId="2" borderId="2" xfId="3" applyFont="1" applyFill="1" applyBorder="1" applyAlignment="1">
      <alignment horizontal="right"/>
    </xf>
    <xf numFmtId="164" fontId="3" fillId="0" borderId="3" xfId="4" applyFill="1" applyBorder="1" applyAlignment="1">
      <alignment horizontal="centerContinuous"/>
    </xf>
    <xf numFmtId="164" fontId="3" fillId="3" borderId="9" xfId="4" applyFill="1" applyBorder="1">
      <alignment horizontal="right"/>
    </xf>
    <xf numFmtId="164" fontId="3" fillId="4" borderId="9" xfId="4" applyFill="1" applyBorder="1">
      <alignment horizontal="right"/>
    </xf>
    <xf numFmtId="164" fontId="3" fillId="2" borderId="5" xfId="4" applyFill="1" applyBorder="1">
      <alignment horizontal="right"/>
    </xf>
    <xf numFmtId="164" fontId="3" fillId="0" borderId="3" xfId="4" applyBorder="1" applyAlignment="1">
      <alignment horizontal="centerContinuous"/>
    </xf>
    <xf numFmtId="164" fontId="3" fillId="0" borderId="5" xfId="4" applyBorder="1" applyAlignment="1">
      <alignment horizontal="centerContinuous"/>
    </xf>
    <xf numFmtId="164" fontId="3" fillId="5" borderId="2" xfId="4" applyFill="1" applyBorder="1" applyAlignment="1">
      <alignment horizontal="centerContinuous"/>
    </xf>
    <xf numFmtId="0" fontId="3" fillId="2" borderId="2" xfId="4" applyNumberFormat="1" applyFill="1" applyBorder="1">
      <alignment horizontal="right"/>
    </xf>
    <xf numFmtId="164" fontId="3" fillId="0" borderId="10" xfId="4" applyFill="1" applyBorder="1" applyAlignment="1">
      <alignment horizontal="centerContinuous"/>
    </xf>
    <xf numFmtId="164" fontId="3" fillId="0" borderId="6" xfId="4" applyFill="1" applyBorder="1" applyAlignment="1">
      <alignment horizontal="centerContinuous"/>
    </xf>
    <xf numFmtId="164" fontId="3" fillId="6" borderId="2" xfId="4" applyFill="1" applyBorder="1" applyAlignment="1">
      <alignment horizontal="centerContinuous"/>
    </xf>
    <xf numFmtId="164" fontId="3" fillId="3" borderId="10" xfId="4" applyFill="1" applyBorder="1">
      <alignment horizontal="right"/>
    </xf>
    <xf numFmtId="164" fontId="3" fillId="4" borderId="10" xfId="4" applyFill="1" applyBorder="1">
      <alignment horizontal="right"/>
    </xf>
    <xf numFmtId="164" fontId="3" fillId="0" borderId="2" xfId="4" applyBorder="1" applyAlignment="1">
      <alignment horizontal="centerContinuous"/>
    </xf>
    <xf numFmtId="164" fontId="3" fillId="5" borderId="3" xfId="4" applyFill="1" applyBorder="1" applyAlignment="1">
      <alignment horizontal="centerContinuous"/>
    </xf>
    <xf numFmtId="164" fontId="3" fillId="3" borderId="5" xfId="4" applyFill="1" applyBorder="1">
      <alignment horizontal="right"/>
    </xf>
    <xf numFmtId="164" fontId="3" fillId="6" borderId="6" xfId="4" applyFill="1" applyBorder="1" applyAlignment="1">
      <alignment horizontal="centerContinuous"/>
    </xf>
    <xf numFmtId="164" fontId="3" fillId="0" borderId="2" xfId="4" applyBorder="1">
      <alignment horizontal="right"/>
    </xf>
    <xf numFmtId="164" fontId="3" fillId="0" borderId="2" xfId="4" applyFill="1" applyBorder="1">
      <alignment horizontal="right"/>
    </xf>
    <xf numFmtId="164" fontId="3" fillId="0" borderId="7" xfId="4" applyBorder="1" applyAlignment="1">
      <alignment horizontal="centerContinuous"/>
    </xf>
    <xf numFmtId="164" fontId="3" fillId="0" borderId="8" xfId="4" applyBorder="1" applyAlignment="1">
      <alignment horizontal="centerContinuous"/>
    </xf>
    <xf numFmtId="164" fontId="3" fillId="0" borderId="11" xfId="4" applyFill="1" applyBorder="1" applyAlignment="1">
      <alignment horizontal="centerContinuous"/>
    </xf>
    <xf numFmtId="164" fontId="3" fillId="0" borderId="12" xfId="4" applyFill="1" applyBorder="1" applyAlignment="1">
      <alignment horizontal="centerContinuous"/>
    </xf>
    <xf numFmtId="0" fontId="3" fillId="0" borderId="2" xfId="4" applyNumberFormat="1" applyFill="1" applyBorder="1">
      <alignment horizontal="right"/>
    </xf>
    <xf numFmtId="164" fontId="3" fillId="5" borderId="10" xfId="4" applyFill="1" applyBorder="1" applyAlignment="1">
      <alignment horizontal="centerContinuous"/>
    </xf>
    <xf numFmtId="164" fontId="3" fillId="0" borderId="3" xfId="4" applyFill="1" applyBorder="1">
      <alignment horizontal="right"/>
    </xf>
    <xf numFmtId="164" fontId="3" fillId="0" borderId="5" xfId="4" applyFill="1" applyBorder="1">
      <alignment horizontal="right"/>
    </xf>
    <xf numFmtId="0" fontId="3" fillId="0" borderId="2" xfId="4" applyNumberFormat="1" applyBorder="1">
      <alignment horizontal="right"/>
    </xf>
    <xf numFmtId="164" fontId="3" fillId="6" borderId="3" xfId="4" applyFill="1" applyBorder="1" applyAlignment="1">
      <alignment horizontal="centerContinuous"/>
    </xf>
    <xf numFmtId="164" fontId="3" fillId="6" borderId="5" xfId="4" applyFill="1" applyBorder="1" applyAlignment="1">
      <alignment horizontal="centerContinuous"/>
    </xf>
    <xf numFmtId="164" fontId="3" fillId="4" borderId="6" xfId="4" applyFill="1" applyBorder="1">
      <alignment horizontal="right"/>
    </xf>
    <xf numFmtId="164" fontId="3" fillId="0" borderId="13" xfId="4" applyBorder="1" applyAlignment="1">
      <alignment horizontal="centerContinuous"/>
    </xf>
    <xf numFmtId="164" fontId="3" fillId="0" borderId="14" xfId="4" applyBorder="1" applyAlignment="1">
      <alignment horizontal="centerContinuous"/>
    </xf>
    <xf numFmtId="164" fontId="3" fillId="3" borderId="3" xfId="4" applyFill="1" applyBorder="1">
      <alignment horizontal="right"/>
    </xf>
    <xf numFmtId="0" fontId="3" fillId="2" borderId="5" xfId="4" applyNumberFormat="1" applyFill="1" applyBorder="1">
      <alignment horizontal="right"/>
    </xf>
    <xf numFmtId="164" fontId="3" fillId="6" borderId="4" xfId="4" applyFill="1" applyBorder="1" applyAlignment="1">
      <alignment horizontal="centerContinuous"/>
    </xf>
    <xf numFmtId="164" fontId="3" fillId="0" borderId="9" xfId="4" applyBorder="1" applyAlignment="1">
      <alignment horizontal="centerContinuous"/>
    </xf>
    <xf numFmtId="164" fontId="3" fillId="5" borderId="9" xfId="4" applyFill="1" applyBorder="1" applyAlignment="1">
      <alignment horizontal="centerContinuous"/>
    </xf>
    <xf numFmtId="164" fontId="3" fillId="0" borderId="10" xfId="4" applyBorder="1">
      <alignment horizontal="right"/>
    </xf>
    <xf numFmtId="164" fontId="3" fillId="0" borderId="11" xfId="4" applyBorder="1" applyAlignment="1">
      <alignment horizontal="centerContinuous"/>
    </xf>
    <xf numFmtId="164" fontId="3" fillId="0" borderId="12" xfId="4" applyBorder="1" applyAlignment="1">
      <alignment horizontal="centerContinuous"/>
    </xf>
    <xf numFmtId="0" fontId="4" fillId="0" borderId="0" xfId="0" applyFont="1" applyAlignment="1">
      <alignment horizontal="center"/>
    </xf>
    <xf numFmtId="0" fontId="0" fillId="0" borderId="11" xfId="3" applyFont="1" applyBorder="1" applyAlignment="1">
      <alignment horizontal="centerContinuous"/>
    </xf>
    <xf numFmtId="0" fontId="0" fillId="0" borderId="12" xfId="3" applyFont="1" applyBorder="1" applyAlignment="1">
      <alignment horizontal="centerContinuous"/>
    </xf>
    <xf numFmtId="0" fontId="0" fillId="0" borderId="10" xfId="3" applyFont="1" applyBorder="1" applyAlignment="1">
      <alignment horizontal="centerContinuous"/>
    </xf>
    <xf numFmtId="0" fontId="0" fillId="0" borderId="17" xfId="3" applyFont="1" applyBorder="1" applyAlignment="1">
      <alignment horizontal="centerContinuous"/>
    </xf>
    <xf numFmtId="0" fontId="0" fillId="0" borderId="10" xfId="3" applyFont="1" applyBorder="1">
      <alignment horizontal="center"/>
    </xf>
    <xf numFmtId="0" fontId="0" fillId="0" borderId="10" xfId="3" applyFont="1" applyFill="1" applyBorder="1">
      <alignment horizontal="center"/>
    </xf>
    <xf numFmtId="0" fontId="2" fillId="2" borderId="5" xfId="2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0" fillId="0" borderId="17" xfId="3" applyFont="1" applyBorder="1">
      <alignment horizontal="center"/>
    </xf>
    <xf numFmtId="164" fontId="3" fillId="8" borderId="2" xfId="4" applyFill="1" applyBorder="1" applyAlignment="1">
      <alignment horizontal="centerContinuous"/>
    </xf>
    <xf numFmtId="164" fontId="3" fillId="8" borderId="6" xfId="4" applyFill="1" applyBorder="1" applyAlignment="1">
      <alignment horizontal="centerContinuous"/>
    </xf>
    <xf numFmtId="164" fontId="3" fillId="8" borderId="7" xfId="4" applyFill="1" applyBorder="1" applyAlignment="1">
      <alignment horizontal="centerContinuous"/>
    </xf>
    <xf numFmtId="164" fontId="3" fillId="8" borderId="8" xfId="4" applyFill="1" applyBorder="1" applyAlignment="1">
      <alignment horizontal="centerContinuous"/>
    </xf>
    <xf numFmtId="164" fontId="3" fillId="8" borderId="10" xfId="4" applyFill="1" applyBorder="1" applyAlignment="1">
      <alignment horizontal="centerContinuous"/>
    </xf>
    <xf numFmtId="164" fontId="3" fillId="8" borderId="3" xfId="4" applyFill="1" applyBorder="1" applyAlignment="1">
      <alignment horizontal="centerContinuous"/>
    </xf>
    <xf numFmtId="164" fontId="3" fillId="8" borderId="5" xfId="4" applyFill="1" applyBorder="1" applyAlignment="1">
      <alignment horizontal="centerContinuous"/>
    </xf>
    <xf numFmtId="164" fontId="3" fillId="9" borderId="2" xfId="4" applyFill="1" applyBorder="1" applyAlignment="1">
      <alignment horizontal="centerContinuous"/>
    </xf>
    <xf numFmtId="164" fontId="3" fillId="9" borderId="9" xfId="4" applyFill="1" applyBorder="1" applyAlignment="1">
      <alignment horizontal="centerContinuous"/>
    </xf>
    <xf numFmtId="0" fontId="6" fillId="0" borderId="0" xfId="0" applyFont="1"/>
    <xf numFmtId="0" fontId="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0" borderId="15" xfId="5" applyFont="1" applyBorder="1" applyAlignment="1">
      <alignment horizontal="center" vertical="center"/>
    </xf>
    <xf numFmtId="0" fontId="7" fillId="0" borderId="16" xfId="5" applyFont="1" applyBorder="1" applyAlignment="1">
      <alignment horizontal="center" vertical="center"/>
    </xf>
    <xf numFmtId="0" fontId="7" fillId="10" borderId="0" xfId="0" applyFont="1" applyFill="1" applyAlignment="1">
      <alignment horizontal="center"/>
    </xf>
    <xf numFmtId="0" fontId="2" fillId="0" borderId="3" xfId="2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10" borderId="0" xfId="0" applyFont="1" applyFill="1" applyAlignment="1">
      <alignment horizontal="center" vertical="center"/>
    </xf>
  </cellXfs>
  <cellStyles count="6">
    <cellStyle name="Den" xfId="4"/>
    <cellStyle name="Den v týdnu" xfId="3"/>
    <cellStyle name="Nadpis 1" xfId="2" builtinId="16"/>
    <cellStyle name="Název" xfId="1" builtinId="15"/>
    <cellStyle name="Normální" xfId="0" builtinId="0"/>
    <cellStyle name="Normální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lend&#225;&#345;e%202023,2024,%202025%20-%20ob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any"/>
      <sheetName val="Zákupy"/>
      <sheetName val="Cvikov"/>
      <sheetName val="Kamenický Šenov"/>
      <sheetName val="Zahrádky"/>
      <sheetName val="Bohatice"/>
      <sheetName val="Holany 2024"/>
      <sheetName val="Zákupy 2024"/>
      <sheetName val="Cvikov 2024"/>
      <sheetName val="Kamenický Šenov 2024"/>
      <sheetName val="Zahrádky 2024"/>
      <sheetName val="Bohatice 2024"/>
      <sheetName val="Sosnová 2024"/>
      <sheetName val="Česká Lípa 2024"/>
      <sheetName val="Skalice u České Lípy 2024"/>
      <sheetName val="celkový přehled 2024"/>
      <sheetName val="Holany 2025"/>
      <sheetName val="Zákupy 2025"/>
      <sheetName val="Cvikov 2025"/>
      <sheetName val="Kamenický Šenov 2025"/>
      <sheetName val="Zahrádky 2025"/>
      <sheetName val="Bohatice 2025"/>
      <sheetName val="Sosnová 2025"/>
      <sheetName val="Česká Lípa 2025"/>
      <sheetName val="Skalice u České Lípy 2025"/>
      <sheetName val="2026"/>
      <sheetName val="Skalice u České Lípy 2025 - 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0"/>
  <sheetViews>
    <sheetView tabSelected="1" workbookViewId="0">
      <selection activeCell="AU33" sqref="AU33"/>
    </sheetView>
  </sheetViews>
  <sheetFormatPr defaultRowHeight="14.25"/>
  <cols>
    <col min="1" max="1" width="2.25" customWidth="1"/>
    <col min="2" max="2" width="2.75" customWidth="1"/>
    <col min="3" max="14" width="4.25" customWidth="1"/>
    <col min="15" max="15" width="10" customWidth="1"/>
    <col min="16" max="16" width="4.25" customWidth="1"/>
    <col min="17" max="17" width="6.75" customWidth="1"/>
    <col min="18" max="18" width="2" customWidth="1"/>
    <col min="19" max="27" width="4.25" customWidth="1"/>
    <col min="28" max="28" width="4.75" customWidth="1"/>
    <col min="29" max="29" width="8.75" customWidth="1"/>
    <col min="30" max="42" width="4.25" customWidth="1"/>
    <col min="43" max="43" width="9.125" customWidth="1"/>
    <col min="44" max="56" width="4.25" customWidth="1"/>
    <col min="57" max="57" width="10.375" customWidth="1"/>
    <col min="58" max="58" width="2.75" customWidth="1"/>
  </cols>
  <sheetData>
    <row r="1" spans="2:58" ht="16.5" customHeight="1">
      <c r="B1" s="86" t="s">
        <v>28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</row>
    <row r="2" spans="2:58" ht="8.25" customHeight="1">
      <c r="C2" s="87">
        <v>2025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1"/>
    </row>
    <row r="3" spans="2:58" ht="18" customHeight="1">
      <c r="C3" s="83" t="s">
        <v>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65" t="s">
        <v>1</v>
      </c>
      <c r="Q3" s="83" t="s">
        <v>2</v>
      </c>
      <c r="R3" s="84"/>
      <c r="S3" s="84"/>
      <c r="T3" s="84"/>
      <c r="U3" s="84"/>
      <c r="V3" s="84"/>
      <c r="W3" s="84"/>
      <c r="X3" s="84"/>
      <c r="Y3" s="84"/>
      <c r="Z3" s="84"/>
      <c r="AA3" s="84"/>
      <c r="AB3" s="85"/>
      <c r="AC3" s="65" t="s">
        <v>1</v>
      </c>
      <c r="AE3" s="83" t="s">
        <v>3</v>
      </c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65" t="s">
        <v>1</v>
      </c>
      <c r="AS3" s="83" t="s">
        <v>4</v>
      </c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65" t="s">
        <v>1</v>
      </c>
    </row>
    <row r="4" spans="2:58" ht="18" customHeight="1" thickBot="1">
      <c r="C4" s="58" t="s">
        <v>5</v>
      </c>
      <c r="D4" s="59"/>
      <c r="E4" s="60" t="s">
        <v>6</v>
      </c>
      <c r="F4" s="60"/>
      <c r="G4" s="61" t="s">
        <v>7</v>
      </c>
      <c r="H4" s="61"/>
      <c r="I4" s="60" t="s">
        <v>8</v>
      </c>
      <c r="J4" s="60"/>
      <c r="K4" s="60" t="s">
        <v>9</v>
      </c>
      <c r="L4" s="60"/>
      <c r="M4" s="62" t="s">
        <v>10</v>
      </c>
      <c r="N4" s="62" t="s">
        <v>11</v>
      </c>
      <c r="O4" s="63"/>
      <c r="Q4" s="60" t="s">
        <v>5</v>
      </c>
      <c r="R4" s="60"/>
      <c r="S4" s="60" t="s">
        <v>6</v>
      </c>
      <c r="T4" s="60"/>
      <c r="U4" s="60" t="s">
        <v>7</v>
      </c>
      <c r="V4" s="60"/>
      <c r="W4" s="60" t="s">
        <v>8</v>
      </c>
      <c r="X4" s="60"/>
      <c r="Y4" s="60" t="s">
        <v>9</v>
      </c>
      <c r="Z4" s="60"/>
      <c r="AA4" s="62" t="s">
        <v>10</v>
      </c>
      <c r="AB4" s="62" t="s">
        <v>11</v>
      </c>
      <c r="AC4" s="63"/>
      <c r="AE4" s="60" t="s">
        <v>5</v>
      </c>
      <c r="AF4" s="60"/>
      <c r="AG4" s="60" t="s">
        <v>6</v>
      </c>
      <c r="AH4" s="60"/>
      <c r="AI4" s="60" t="s">
        <v>7</v>
      </c>
      <c r="AJ4" s="60"/>
      <c r="AK4" s="60" t="s">
        <v>8</v>
      </c>
      <c r="AL4" s="60"/>
      <c r="AM4" s="60" t="s">
        <v>9</v>
      </c>
      <c r="AN4" s="60"/>
      <c r="AO4" s="66" t="s">
        <v>10</v>
      </c>
      <c r="AP4" s="66" t="s">
        <v>11</v>
      </c>
      <c r="AQ4" s="63"/>
      <c r="AS4" s="60" t="s">
        <v>5</v>
      </c>
      <c r="AT4" s="60"/>
      <c r="AU4" s="60" t="s">
        <v>6</v>
      </c>
      <c r="AV4" s="60"/>
      <c r="AW4" s="60" t="s">
        <v>7</v>
      </c>
      <c r="AX4" s="60"/>
      <c r="AY4" s="60" t="s">
        <v>8</v>
      </c>
      <c r="AZ4" s="60"/>
      <c r="BA4" s="60" t="s">
        <v>9</v>
      </c>
      <c r="BB4" s="60"/>
      <c r="BC4" s="62" t="s">
        <v>10</v>
      </c>
      <c r="BD4" s="62" t="s">
        <v>11</v>
      </c>
      <c r="BE4" s="63"/>
    </row>
    <row r="5" spans="2:58" ht="18" customHeight="1" thickTop="1" thickBot="1">
      <c r="C5" s="3" t="str">
        <f>IF(AND(YEAR(Ne1Led+35)=Rok,MONTH(Ne1Led+35)=1),Ne1Led+35, "")</f>
        <v/>
      </c>
      <c r="D5" s="4"/>
      <c r="E5" s="3" t="str">
        <f>IF(AND(YEAR(Ne1Led+35)=Rok,MONTH(Ne1Led+35)=1),Ne1Led+35, "")</f>
        <v/>
      </c>
      <c r="F5" s="5"/>
      <c r="G5" s="6">
        <f>IF(AND(YEAR(Ne1Led+2)=Rok,MONTH(Ne1Led+2)=1),Ne1Led+2, "")</f>
        <v>45658</v>
      </c>
      <c r="H5" s="7"/>
      <c r="I5" s="8">
        <f>IF(AND(YEAR(Ne1Led+3)=Rok,MONTH(Ne1Led+3)=1),Ne1Led+3, "")</f>
        <v>45659</v>
      </c>
      <c r="J5" s="9"/>
      <c r="K5" s="9">
        <f>IF(AND(YEAR(Ne1Led+4)=Rok,MONTH(Ne1Led+4)=1),Ne1Led+4, "")</f>
        <v>45660</v>
      </c>
      <c r="L5" s="9"/>
      <c r="M5" s="10">
        <f>IF(AND(YEAR(Ne1Led+5)=Rok,MONTH(Ne1Led+5)=1),Ne1Led+5, "")</f>
        <v>45661</v>
      </c>
      <c r="N5" s="11">
        <f>IF(AND(YEAR(Ne1Led+6)=Rok,MONTH(Ne1Led+6)=1),Ne1Led+6, "")</f>
        <v>45662</v>
      </c>
      <c r="O5" s="12">
        <v>1</v>
      </c>
      <c r="Q5" s="3" t="str">
        <f>IF(AND(YEAR(CV+35)=Rok,MONTH(CV+35)=4),CV+35, "")</f>
        <v/>
      </c>
      <c r="R5" s="4"/>
      <c r="S5" s="2">
        <v>1</v>
      </c>
      <c r="T5" s="2"/>
      <c r="U5" s="2">
        <v>2</v>
      </c>
      <c r="V5" s="2"/>
      <c r="W5" s="2">
        <v>3</v>
      </c>
      <c r="X5" s="2"/>
      <c r="Y5" s="2">
        <v>4</v>
      </c>
      <c r="Z5" s="2"/>
      <c r="AA5" s="13">
        <v>5</v>
      </c>
      <c r="AB5" s="14">
        <v>6</v>
      </c>
      <c r="AC5" s="15">
        <v>14</v>
      </c>
      <c r="AE5" s="3" t="str">
        <f>IF(AND(YEAR(Ne1Čvc+37)=Rok,MONTH(Ne1Čvc+37)=7),Ne1Čvc+37, "")</f>
        <v/>
      </c>
      <c r="AF5" s="4"/>
      <c r="AG5" s="9">
        <f>IF(AND(YEAR(Ne1Čvc+1)=Rok,MONTH(Ne1Čvc+1)=7),Ne1Čvc+1, "")</f>
        <v>45839</v>
      </c>
      <c r="AH5" s="9"/>
      <c r="AI5" s="9">
        <f>IF(AND(YEAR(Ne1Čvc+2)=Rok,MONTH(Ne1Čvc+2)=7),Ne1Čvc+2, "")</f>
        <v>45840</v>
      </c>
      <c r="AJ5" s="9"/>
      <c r="AK5" s="9">
        <f>IF(AND(YEAR(Ne1Čvc+3)=Rok,MONTH(Ne1Čvc+3)=7),Ne1Čvc+3, "")</f>
        <v>45841</v>
      </c>
      <c r="AL5" s="9"/>
      <c r="AM5" s="9">
        <f>IF(AND(YEAR(Ne1Čvc+4)=Rok,MONTH(Ne1Čvc+4)=7),Ne1Čvc+4, "")</f>
        <v>45842</v>
      </c>
      <c r="AN5" s="16"/>
      <c r="AO5" s="17">
        <f>IF(AND(YEAR(Ne1Čvc+5)=Rok,MONTH(Ne1Čvc+5)=7),Ne1Čvc+5, "")</f>
        <v>45843</v>
      </c>
      <c r="AP5" s="18">
        <f>IF(AND(YEAR(Ne1Čvc+6)=Rok,MONTH(Ne1Čvc+6)=7),Ne1Čvc+6, "")</f>
        <v>45844</v>
      </c>
      <c r="AQ5" s="19">
        <v>27</v>
      </c>
      <c r="AS5" s="20" t="str">
        <f>IF(AND(YEAR(Ne1Říj)=Rok,MONTH(Ne1Říj)=10),Ne1Říj, "")</f>
        <v/>
      </c>
      <c r="AT5" s="21"/>
      <c r="AU5" s="20" t="str">
        <f>IF(AND(YEAR(Ne1Říj+35)=Rok,MONTH(Ne1Říj+35)=10),Ne1Říj+35, "")</f>
        <v/>
      </c>
      <c r="AV5" s="8"/>
      <c r="AW5" s="9">
        <f>IF(AND(YEAR(Ne1Říj+2)=Rok,MONTH(Ne1Říj+2)=10),Ne1Říj+2, "")</f>
        <v>45931</v>
      </c>
      <c r="AX5" s="9"/>
      <c r="AY5" s="74">
        <f>IF(AND(YEAR(Ne1Říj+3)=Rok,MONTH(Ne1Říj+3)=10),Ne1Říj+3, "")</f>
        <v>45932</v>
      </c>
      <c r="AZ5" s="22"/>
      <c r="BA5" s="9">
        <f>IF(AND(YEAR(Ne1Říj+4)=Rok,MONTH(Ne1Říj+4)=10),Ne1Říj+4, "")</f>
        <v>45933</v>
      </c>
      <c r="BB5" s="9"/>
      <c r="BC5" s="10">
        <f>IF(AND(YEAR(Ne1Říj+5)=Rok,MONTH(Ne1Říj+5)=10),Ne1Říj+5, "")</f>
        <v>45934</v>
      </c>
      <c r="BD5" s="11">
        <f>IF(AND(YEAR(Ne1Říj+6)=Rok,MONTH(Ne1Říj+6)=10),Ne1Říj+6, "")</f>
        <v>45935</v>
      </c>
      <c r="BE5" s="23">
        <v>40</v>
      </c>
    </row>
    <row r="6" spans="2:58" ht="18" customHeight="1" thickTop="1" thickBot="1">
      <c r="C6" s="67">
        <f>IF(AND(YEAR(Ne1Led+7)=Rok,MONTH(Ne1Led+7)=1),Ne1Led+7, "")</f>
        <v>45663</v>
      </c>
      <c r="D6" s="67"/>
      <c r="E6" s="9">
        <f>IF(AND(YEAR(Ne1Led+8)=Rok,MONTH(Ne1Led+8)=1),Ne1Led+8, "")</f>
        <v>45664</v>
      </c>
      <c r="F6" s="9"/>
      <c r="G6" s="24">
        <f>IF(AND(YEAR(Ne1Led+9)=Rok,MONTH(Ne1Led+9)=1),Ne1Led+9, "")</f>
        <v>45665</v>
      </c>
      <c r="H6" s="24"/>
      <c r="I6" s="9">
        <f>IF(AND(YEAR(Ne1Led+10)=Rok,MONTH(Ne1Led+10)=1),Ne1Led+10, "")</f>
        <v>45666</v>
      </c>
      <c r="J6" s="9"/>
      <c r="K6" s="9">
        <f>IF(AND(YEAR(Ne1Led+11)=Rok,MONTH(Ne1Led+11)=1),Ne1Led+11, "")</f>
        <v>45667</v>
      </c>
      <c r="L6" s="9"/>
      <c r="M6" s="10">
        <f>IF(AND(YEAR(Ne1Led+12)=Rok,MONTH(Ne1Led+12)=1),Ne1Led+12, "")</f>
        <v>45668</v>
      </c>
      <c r="N6" s="11">
        <f>IF(AND(YEAR(Ne1Led+13)=Rok,MONTH(Ne1Led+13)=1),Ne1Led+13, "")</f>
        <v>45669</v>
      </c>
      <c r="O6" s="12">
        <v>2</v>
      </c>
      <c r="Q6" s="67">
        <f>IF(AND(YEAR(CV+7)=Rok,MONTH(CV+7)=4),CV+7, "")</f>
        <v>45754</v>
      </c>
      <c r="R6" s="67"/>
      <c r="S6" s="9">
        <f>IF(AND(YEAR(CV+8)=Rok,MONTH(CV+8)=4),CV+8, "")</f>
        <v>45755</v>
      </c>
      <c r="T6" s="9"/>
      <c r="U6" s="9">
        <f>IF(AND(YEAR(CV+9)=Rok,MONTH(CV+9)=4),CV+9, "")</f>
        <v>45756</v>
      </c>
      <c r="V6" s="9"/>
      <c r="W6" s="9">
        <f>IF(AND(YEAR(CV+10)=Rok,MONTH(CV+10)=4),CV+10, "")</f>
        <v>45757</v>
      </c>
      <c r="X6" s="9"/>
      <c r="Y6" s="25">
        <f>IF(AND(YEAR(CV+11)=Rok,MONTH(CV+11)=4),CV+11, "")</f>
        <v>45758</v>
      </c>
      <c r="Z6" s="25"/>
      <c r="AA6" s="10">
        <f>IF(AND(YEAR(CV+12)=Rok,MONTH(CV+12)=4),CV+12, "")</f>
        <v>45759</v>
      </c>
      <c r="AB6" s="11">
        <f>IF(AND(YEAR(CV+13)=Rok,MONTH(CV+13)=4),CV+13, "")</f>
        <v>45760</v>
      </c>
      <c r="AC6" s="12">
        <v>15</v>
      </c>
      <c r="AE6" s="67">
        <f>IF(AND(YEAR(Ne1Čvc+7)=Rok,MONTH(Ne1Čvc+7)=7),Ne1Čvc+7, "")</f>
        <v>45845</v>
      </c>
      <c r="AF6" s="67"/>
      <c r="AG6" s="26">
        <f>IF(AND(YEAR(Ne1Čvc+8)=Rok,MONTH(Ne1Čvc+8)=7),Ne1Čvc+8, "")</f>
        <v>45846</v>
      </c>
      <c r="AH6" s="26"/>
      <c r="AI6" s="9">
        <f>IF(AND(YEAR(Ne1Čvc+9)=Rok,MONTH(Ne1Čvc+9)=7),Ne1Čvc+9, "")</f>
        <v>45847</v>
      </c>
      <c r="AJ6" s="9"/>
      <c r="AK6" s="74">
        <f>IF(AND(YEAR(Ne1Čvc+10)=Rok,MONTH(Ne1Čvc+10)=7),Ne1Čvc+10, "")</f>
        <v>45848</v>
      </c>
      <c r="AL6" s="22"/>
      <c r="AM6" s="9">
        <f>IF(AND(YEAR(Ne1Čvc+11)=Rok,MONTH(Ne1Čvc+11)=7),Ne1Čvc+11, "")</f>
        <v>45849</v>
      </c>
      <c r="AN6" s="9"/>
      <c r="AO6" s="27">
        <f>IF(AND(YEAR(Ne1Čvc+12)=Rok,MONTH(Ne1Čvc+12)=7),Ne1Čvc+12, "")</f>
        <v>45850</v>
      </c>
      <c r="AP6" s="28">
        <f>IF(AND(YEAR(Ne1Čvc+13)=Rok,MONTH(Ne1Čvc+13)=7),Ne1Čvc+13, "")</f>
        <v>45851</v>
      </c>
      <c r="AQ6" s="12">
        <v>28</v>
      </c>
      <c r="AS6" s="67">
        <f>IF(AND(YEAR(Ne1Říj+7)=Rok,MONTH(Ne1Říj+7)=10),Ne1Říj+7, "")</f>
        <v>45936</v>
      </c>
      <c r="AT6" s="67"/>
      <c r="AU6" s="9">
        <f>IF(AND(YEAR(Ne1Říj+8)=Rok,MONTH(Ne1Říj+8)=10),Ne1Říj+8, "")</f>
        <v>45937</v>
      </c>
      <c r="AV6" s="9"/>
      <c r="AW6" s="9">
        <f>IF(AND(YEAR(Ne1Říj+9)=Rok,MONTH(Ne1Říj+9)=10),Ne1Říj+9, "")</f>
        <v>45938</v>
      </c>
      <c r="AX6" s="9"/>
      <c r="AY6" s="9">
        <f>IF(AND(YEAR(Ne1Říj+10)=Rok,MONTH(Ne1Říj+10)=10),Ne1Říj+10, "")</f>
        <v>45939</v>
      </c>
      <c r="AZ6" s="9"/>
      <c r="BA6" s="9">
        <f>IF(AND(YEAR(Ne1Říj+11)=Rok,MONTH(Ne1Říj+11)=10),Ne1Říj+11, "")</f>
        <v>45940</v>
      </c>
      <c r="BB6" s="9"/>
      <c r="BC6" s="10">
        <f>IF(AND(YEAR(Ne1Říj+12)=Rok,MONTH(Ne1Říj+12)=10),Ne1Říj+12, "")</f>
        <v>45941</v>
      </c>
      <c r="BD6" s="11">
        <f>IF(AND(YEAR(Ne1Říj+13)=Rok,MONTH(Ne1Říj+13)=10),Ne1Říj+13, "")</f>
        <v>45942</v>
      </c>
      <c r="BE6" s="23">
        <v>41</v>
      </c>
    </row>
    <row r="7" spans="2:58" ht="18" customHeight="1" thickTop="1" thickBot="1">
      <c r="C7" s="67">
        <f>IF(AND(YEAR(Ne1Led+14)=Rok,MONTH(Ne1Led+14)=1),Ne1Led+14, "")</f>
        <v>45670</v>
      </c>
      <c r="D7" s="67"/>
      <c r="E7" s="9">
        <f>IF(AND(YEAR(Ne1Led+15)=Rok,MONTH(Ne1Led+15)=1),Ne1Led+15, "")</f>
        <v>45671</v>
      </c>
      <c r="F7" s="9"/>
      <c r="G7" s="9">
        <f>IF(AND(YEAR(Ne1Led+16)=Rok,MONTH(Ne1Led+16)=1),Ne1Led+16, "")</f>
        <v>45672</v>
      </c>
      <c r="H7" s="9"/>
      <c r="I7" s="9">
        <f>IF(AND(YEAR(Ne1Led+17)=Rok,MONTH(Ne1Led+17)=1),Ne1Led+17, "")</f>
        <v>45673</v>
      </c>
      <c r="J7" s="9"/>
      <c r="K7" s="9">
        <f>IF(AND(YEAR(Ne1Led+18)=Rok,MONTH(Ne1Led+18)=1),Ne1Led+18, "")</f>
        <v>45674</v>
      </c>
      <c r="L7" s="9"/>
      <c r="M7" s="10">
        <f>IF(AND(YEAR(Ne1Led+19)=Rok,MONTH(Ne1Led+19)=1),Ne1Led+19, "")</f>
        <v>45675</v>
      </c>
      <c r="N7" s="11">
        <f>IF(AND(YEAR(Ne1Led+20)=Rok,MONTH(Ne1Led+20)=1),Ne1Led+20, "")</f>
        <v>45676</v>
      </c>
      <c r="O7" s="12">
        <v>3</v>
      </c>
      <c r="Q7" s="68">
        <f>IF(AND(YEAR(CV+14)=Rok,MONTH(CV+14)=4),CV+14, "")</f>
        <v>45761</v>
      </c>
      <c r="R7" s="68"/>
      <c r="S7" s="26">
        <f>IF(AND(YEAR(CV+15)=Rok,MONTH(CV+15)=4),CV+15, "")</f>
        <v>45762</v>
      </c>
      <c r="T7" s="26"/>
      <c r="U7" s="9">
        <f>IF(AND(YEAR(CV+16)=Rok,MONTH(CV+16)=4),CV+16, "")</f>
        <v>45763</v>
      </c>
      <c r="V7" s="9"/>
      <c r="W7" s="22">
        <f>IF(AND(YEAR(CV+17)=Rok,MONTH(CV+17)=4),CV+17, "")</f>
        <v>45764</v>
      </c>
      <c r="X7" s="30"/>
      <c r="Y7" s="6">
        <f>IF(AND(YEAR(CV+18)=Rok,MONTH(CV+18)=4),CV+18, "")</f>
        <v>45765</v>
      </c>
      <c r="Z7" s="7"/>
      <c r="AA7" s="31">
        <f>IF(AND(YEAR(CV+19)=Rok,MONTH(CV+19)=4),CV+19, "")</f>
        <v>45766</v>
      </c>
      <c r="AB7" s="11">
        <f>IF(AND(YEAR(CV+20)=Rok,MONTH(CV+20)=4),CV+20, "")</f>
        <v>45767</v>
      </c>
      <c r="AC7" s="12">
        <v>16</v>
      </c>
      <c r="AE7" s="67">
        <f>IF(AND(YEAR(Ne1Čvc+14)=Rok,MONTH(Ne1Čvc+14)=7),Ne1Čvc+14, "")</f>
        <v>45852</v>
      </c>
      <c r="AF7" s="67"/>
      <c r="AG7" s="9">
        <f>IF(AND(YEAR(Ne1Čvc+15)=Rok,MONTH(Ne1Čvc+15)=7),Ne1Čvc+15, "")</f>
        <v>45853</v>
      </c>
      <c r="AH7" s="9"/>
      <c r="AI7" s="9">
        <f>IF(AND(YEAR(Ne1Čvc+16)=Rok,MONTH(Ne1Čvc+16)=7),Ne1Čvc+16, "")</f>
        <v>45854</v>
      </c>
      <c r="AJ7" s="9"/>
      <c r="AK7" s="9">
        <f>IF(AND(YEAR(Ne1Čvc+17)=Rok,MONTH(Ne1Čvc+17)=7),Ne1Čvc+17, "")</f>
        <v>45855</v>
      </c>
      <c r="AL7" s="9"/>
      <c r="AM7" s="9">
        <f>IF(AND(YEAR(Ne1Čvc+18)=Rok,MONTH(Ne1Čvc+18)=7),Ne1Čvc+18, "")</f>
        <v>45856</v>
      </c>
      <c r="AN7" s="9"/>
      <c r="AO7" s="10">
        <f>IF(AND(YEAR(Ne1Čvc+19)=Rok,MONTH(Ne1Čvc+19)=7),Ne1Čvc+19, "")</f>
        <v>45857</v>
      </c>
      <c r="AP7" s="11">
        <f>IF(AND(YEAR(Ne1Čvc+20)=Rok,MONTH(Ne1Čvc+20)=7),Ne1Čvc+20, "")</f>
        <v>45858</v>
      </c>
      <c r="AQ7" s="12">
        <v>29</v>
      </c>
      <c r="AS7" s="67">
        <f>IF(AND(YEAR(Ne1Říj+14)=Rok,MONTH(Ne1Říj+14)=10),Ne1Říj+14, "")</f>
        <v>45943</v>
      </c>
      <c r="AT7" s="67"/>
      <c r="AU7" s="9">
        <f>IF(AND(YEAR(Ne1Říj+15)=Rok,MONTH(Ne1Říj+15)=10),Ne1Říj+15, "")</f>
        <v>45944</v>
      </c>
      <c r="AV7" s="9"/>
      <c r="AW7" s="9">
        <f>IF(AND(YEAR(Ne1Říj+16)=Rok,MONTH(Ne1Říj+16)=10),Ne1Říj+16, "")</f>
        <v>45945</v>
      </c>
      <c r="AX7" s="9"/>
      <c r="AY7" s="74">
        <f>IF(AND(YEAR(Ne1Říj+17)=Rok,MONTH(Ne1Říj+17)=10),Ne1Říj+17, "")</f>
        <v>45946</v>
      </c>
      <c r="AZ7" s="74"/>
      <c r="BA7" s="9">
        <f>IF(AND(YEAR(Ne1Říj+18)=Rok,MONTH(Ne1Říj+18)=10),Ne1Říj+18, "")</f>
        <v>45947</v>
      </c>
      <c r="BB7" s="9"/>
      <c r="BC7" s="10">
        <f>IF(AND(YEAR(Ne1Říj+19)=Rok,MONTH(Ne1Říj+19)=10),Ne1Říj+19, "")</f>
        <v>45948</v>
      </c>
      <c r="BD7" s="11">
        <f>IF(AND(YEAR(Ne1Říj+20)=Rok,MONTH(Ne1Říj+20)=10),Ne1Říj+20, "")</f>
        <v>45949</v>
      </c>
      <c r="BE7" s="23">
        <v>42</v>
      </c>
    </row>
    <row r="8" spans="2:58" ht="18" customHeight="1" thickTop="1" thickBot="1">
      <c r="C8" s="67">
        <f>IF(AND(YEAR(Ne1Led+21)=Rok,MONTH(Ne1Led+21)=1),Ne1Led+21, "")</f>
        <v>45677</v>
      </c>
      <c r="D8" s="67"/>
      <c r="E8" s="26">
        <f>IF(AND(YEAR(Ne1Led+22)=Rok,MONTH(Ne1Led+22)=1),Ne1Led+22, "")</f>
        <v>45678</v>
      </c>
      <c r="F8" s="26"/>
      <c r="G8" s="9">
        <f>IF(AND(YEAR(Ne1Led+23)=Rok,MONTH(Ne1Led+23)=1),Ne1Led+23, "")</f>
        <v>45679</v>
      </c>
      <c r="H8" s="9"/>
      <c r="I8" s="22">
        <f>IF(AND(YEAR(Ne1Led+24)=Rok,MONTH(Ne1Led+24)=1),Ne1Led+24, "")</f>
        <v>45680</v>
      </c>
      <c r="J8" s="22"/>
      <c r="K8" s="9">
        <f>IF(AND(YEAR(Ne1Led+25)=Rok,MONTH(Ne1Led+25)=1),Ne1Led+25, "")</f>
        <v>45681</v>
      </c>
      <c r="L8" s="9"/>
      <c r="M8" s="10">
        <f>IF(AND(YEAR(Ne1Led+26)=Rok,MONTH(Ne1Led+26)=1),Ne1Led+26, "")</f>
        <v>45682</v>
      </c>
      <c r="N8" s="11">
        <f>IF(AND(YEAR(Ne1Led+27)=Rok,MONTH(Ne1Led+27)=1),Ne1Led+27, "")</f>
        <v>45683</v>
      </c>
      <c r="O8" s="12">
        <v>4</v>
      </c>
      <c r="Q8" s="69">
        <f>IF(AND(YEAR(CV+21)=Rok,MONTH(CV+21)=4),CV+21, "")</f>
        <v>45768</v>
      </c>
      <c r="R8" s="70"/>
      <c r="S8" s="8">
        <f>IF(AND(YEAR(CV+22)=Rok,MONTH(CV+22)=4),CV+22, "")</f>
        <v>45769</v>
      </c>
      <c r="T8" s="9"/>
      <c r="U8" s="9">
        <f>IF(AND(YEAR(CV+23)=Rok,MONTH(CV+23)=4),CV+23, "")</f>
        <v>45770</v>
      </c>
      <c r="V8" s="9"/>
      <c r="W8" s="9">
        <f>IF(AND(YEAR(CV+24)=Rok,MONTH(CV+24)=4),CV+24, "")</f>
        <v>45771</v>
      </c>
      <c r="X8" s="9"/>
      <c r="Y8" s="24">
        <f>IF(AND(YEAR(CV+25)=Rok,MONTH(CV+25)=4),CV+25, "")</f>
        <v>45772</v>
      </c>
      <c r="Z8" s="24"/>
      <c r="AA8" s="10">
        <f>IF(AND(YEAR(CV+26)=Rok,MONTH(CV+26)=4),CV+26, "")</f>
        <v>45773</v>
      </c>
      <c r="AB8" s="11">
        <f>IF(AND(YEAR(CV+27)=Rok,MONTH(CV+27)=4),CV+27, "")</f>
        <v>45774</v>
      </c>
      <c r="AC8" s="12">
        <v>17</v>
      </c>
      <c r="AE8" s="67">
        <f>IF(AND(YEAR(Ne1Čvc+21)=Rok,MONTH(Ne1Čvc+21)=7),Ne1Čvc+21, "")</f>
        <v>45859</v>
      </c>
      <c r="AF8" s="67"/>
      <c r="AG8" s="9">
        <f>IF(AND(YEAR(Ne1Čvc+22)=Rok,MONTH(Ne1Čvc+22)=7),Ne1Čvc+22, "")</f>
        <v>45860</v>
      </c>
      <c r="AH8" s="9"/>
      <c r="AI8" s="9">
        <f>IF(AND(YEAR(Ne1Čvc+23)=Rok,MONTH(Ne1Čvc+23)=7),Ne1Čvc+23, "")</f>
        <v>45861</v>
      </c>
      <c r="AJ8" s="9"/>
      <c r="AK8" s="74">
        <f>IF(AND(YEAR(Ne1Čvc+24)=Rok,MONTH(Ne1Čvc+24)=7),Ne1Čvc+24, "")</f>
        <v>45862</v>
      </c>
      <c r="AL8" s="74"/>
      <c r="AM8" s="9">
        <f>IF(AND(YEAR(Ne1Čvc+25)=Rok,MONTH(Ne1Čvc+25)=7),Ne1Čvc+25, "")</f>
        <v>45863</v>
      </c>
      <c r="AN8" s="9"/>
      <c r="AO8" s="10">
        <f>IF(AND(YEAR(Ne1Čvc+26)=Rok,MONTH(Ne1Čvc+26)=7),Ne1Čvc+26, "")</f>
        <v>45864</v>
      </c>
      <c r="AP8" s="11">
        <f>IF(AND(YEAR(Ne1Čvc+27)=Rok,MONTH(Ne1Čvc+27)=7),Ne1Čvc+27, "")</f>
        <v>45865</v>
      </c>
      <c r="AQ8" s="12">
        <v>30</v>
      </c>
      <c r="AS8" s="67">
        <f>IF(AND(YEAR(Ne1Říj+21)=Rok,MONTH(Ne1Říj+21)=10),Ne1Říj+21, "")</f>
        <v>45950</v>
      </c>
      <c r="AT8" s="67"/>
      <c r="AU8" s="32">
        <f>IF(AND(YEAR(Ne1Říj+22)=Rok,MONTH(Ne1Říj+22)=10),Ne1Říj+22, "")</f>
        <v>45951</v>
      </c>
      <c r="AV8" s="32"/>
      <c r="AW8" s="9">
        <f>IF(AND(YEAR(Ne1Říj+23)=Rok,MONTH(Ne1Říj+23)=10),Ne1Říj+23, "")</f>
        <v>45952</v>
      </c>
      <c r="AX8" s="9"/>
      <c r="AY8" s="9">
        <f>IF(AND(YEAR(Ne1Říj+24)=Rok,MONTH(Ne1Říj+24)=10),Ne1Říj+24, "")</f>
        <v>45953</v>
      </c>
      <c r="AZ8" s="9"/>
      <c r="BA8" s="9">
        <f>IF(AND(YEAR(Ne1Říj+25)=Rok,MONTH(Ne1Říj+25)=10),Ne1Říj+25, "")</f>
        <v>45954</v>
      </c>
      <c r="BB8" s="9"/>
      <c r="BC8" s="10">
        <f>IF(AND(YEAR(Ne1Říj+26)=Rok,MONTH(Ne1Říj+26)=10),Ne1Říj+26, "")</f>
        <v>45955</v>
      </c>
      <c r="BD8" s="11">
        <f>IF(AND(YEAR(Ne1Říj+27)=Rok,MONTH(Ne1Říj+27)=10),Ne1Říj+27, "")</f>
        <v>45956</v>
      </c>
      <c r="BE8" s="23">
        <v>43</v>
      </c>
    </row>
    <row r="9" spans="2:58" ht="18" customHeight="1" thickTop="1" thickBot="1">
      <c r="C9" s="67">
        <f>IF(AND(YEAR(Ne1Led+28)=Rok,MONTH(Ne1Led+28)=1),Ne1Led+28, "")</f>
        <v>45684</v>
      </c>
      <c r="D9" s="67"/>
      <c r="E9" s="9">
        <f>IF(AND(YEAR(Ne1Led+29)=Rok,MONTH(Ne1Led+29)=1),Ne1Led+29, "")</f>
        <v>45685</v>
      </c>
      <c r="F9" s="9"/>
      <c r="G9" s="9">
        <f>IF(AND(YEAR(Ne1Led+30)=Rok,MONTH(Ne1Led+30)=1),Ne1Led+30, "")</f>
        <v>45686</v>
      </c>
      <c r="H9" s="9"/>
      <c r="I9" s="16">
        <f>IF(AND(YEAR(Ne1Led+31)=Rok,MONTH(Ne1Led+31)=1),Ne1Led+31, "")</f>
        <v>45687</v>
      </c>
      <c r="J9" s="8"/>
      <c r="K9" s="20">
        <f>IF(AND(YEAR(Ne1Led+32)=Rok,MONTH(Ne1Led+32)=1),Ne1Led+32, "")</f>
        <v>45688</v>
      </c>
      <c r="L9" s="21"/>
      <c r="M9" s="33" t="str">
        <f>IF(AND(YEAR(Ne1Led+33)=Rok,MONTH(Ne1Led+33)=1),Ne1Led+33, "")</f>
        <v/>
      </c>
      <c r="N9" s="33" t="str">
        <f>IF(AND(YEAR(Ne1Led+34)=Rok,MONTH(Ne1Led+34)=1),Ne1Led+34, "")</f>
        <v/>
      </c>
      <c r="O9" s="12">
        <v>5</v>
      </c>
      <c r="Q9" s="71">
        <f>IF(AND(YEAR(CV+28)=Rok,MONTH(CV+28)=4),CV+28, "")</f>
        <v>45775</v>
      </c>
      <c r="R9" s="71"/>
      <c r="S9" s="9">
        <f>IF(AND(YEAR(CV+29)=Rok,MONTH(CV+29)=4),CV+29, "")</f>
        <v>45776</v>
      </c>
      <c r="T9" s="9"/>
      <c r="U9" s="16">
        <f>IF(AND(YEAR(CV+30)=Rok,MONTH(CV+30)=4),CV+30, "")</f>
        <v>45777</v>
      </c>
      <c r="V9" s="8"/>
      <c r="W9" s="16" t="str">
        <f>IF(AND(YEAR(CV+31)=Rok,MONTH(CV+31)=4),CV+31, "")</f>
        <v/>
      </c>
      <c r="X9" s="8"/>
      <c r="Y9" s="16" t="str">
        <f>IF(AND(YEAR(CV+32)=Rok,MONTH(CV+32)=4),CV+32, "")</f>
        <v/>
      </c>
      <c r="Z9" s="8"/>
      <c r="AA9" s="34" t="str">
        <f>IF(AND(YEAR(CV+33)=Rok,MONTH(CV+33)=4),CV+33, "")</f>
        <v/>
      </c>
      <c r="AB9" s="34" t="str">
        <f>IF(AND(YEAR(CV+34)=Rok,MONTH(CV+34)=4),CV+34, "")</f>
        <v/>
      </c>
      <c r="AC9" s="12">
        <v>18</v>
      </c>
      <c r="AE9" s="67">
        <f>IF(AND(YEAR(Ne1Čvc+28)=Rok,MONTH(Ne1Čvc+28)=7),Ne1Čvc+28, "")</f>
        <v>45866</v>
      </c>
      <c r="AF9" s="67"/>
      <c r="AG9" s="26">
        <f>IF(AND(YEAR(Ne1Čvc+29)=Rok,MONTH(Ne1Čvc+29)=7),Ne1Čvc+29, "")</f>
        <v>45867</v>
      </c>
      <c r="AH9" s="26"/>
      <c r="AI9" s="9">
        <f>IF(AND(YEAR(Ne1Čvc+30)=Rok,MONTH(Ne1Čvc+30)=7),Ne1Čvc+30, "")</f>
        <v>45868</v>
      </c>
      <c r="AJ9" s="9"/>
      <c r="AK9" s="16">
        <f>IF(AND(YEAR(Ne1Čvc+31)=Rok,MONTH(Ne1Čvc+31)=7),Ne1Čvc+31, "")</f>
        <v>45869</v>
      </c>
      <c r="AL9" s="8"/>
      <c r="AM9" s="16" t="str">
        <f>IF(AND(YEAR(Ne1Čvc+32)=Rok,MONTH(Ne1Čvc+32)=7),Ne1Čvc+32, "")</f>
        <v/>
      </c>
      <c r="AN9" s="8"/>
      <c r="AO9" s="34" t="str">
        <f>IF(AND(YEAR(Ne1Čvc+33)=Rok,MONTH(Ne1Čvc+33)=7),Ne1Čvc+33, "")</f>
        <v/>
      </c>
      <c r="AP9" s="34" t="str">
        <f>IF(AND(YEAR(Ne1Čvc+34)=Rok,MONTH(Ne1Čvc+34)=7),Ne1Čvc+34, "")</f>
        <v/>
      </c>
      <c r="AQ9" s="12">
        <v>31</v>
      </c>
      <c r="AS9" s="67">
        <f>IF(AND(YEAR(Ne1Říj+28)=Rok,MONTH(Ne1Říj+28)=10),Ne1Říj+28, "")</f>
        <v>45957</v>
      </c>
      <c r="AT9" s="72"/>
      <c r="AU9" s="35">
        <f>IF(AND(YEAR(Ne1Říj+29)=Rok,MONTH(Ne1Říj+29)=10),Ne1Říj+29, "")</f>
        <v>45958</v>
      </c>
      <c r="AV9" s="36"/>
      <c r="AW9" s="21">
        <f>IF(AND(YEAR(Ne1Říj+30)=Rok,MONTH(Ne1Říj+30)=10),Ne1Říj+30, "")</f>
        <v>45959</v>
      </c>
      <c r="AX9" s="29"/>
      <c r="AY9" s="74">
        <f>IF(AND(YEAR(Ne1Říj+31)=Rok,MONTH(Ne1Říj+31)=10),Ne1Říj+31, "")</f>
        <v>45960</v>
      </c>
      <c r="AZ9" s="22"/>
      <c r="BA9" s="20">
        <f>IF(AND(YEAR(Ne1Říj+32)=Rok,MONTH(Ne1Říj+32)=10),Ne1Říj+32, "")</f>
        <v>45961</v>
      </c>
      <c r="BB9" s="21"/>
      <c r="BC9" s="33" t="str">
        <f>IF(AND(YEAR(Ne1Říj+33)=Rok,MONTH(Ne1Říj+33)=10),Ne1Říj+33, "")</f>
        <v/>
      </c>
      <c r="BD9" s="33" t="str">
        <f>IF(AND(YEAR(Ne1Říj+34)=Rok,MONTH(Ne1Říj+34)=10),Ne1Říj+34, "")</f>
        <v/>
      </c>
      <c r="BE9" s="23">
        <v>44</v>
      </c>
    </row>
    <row r="10" spans="2:58" ht="18" customHeight="1" thickTop="1">
      <c r="C10" s="3" t="str">
        <f>IF(AND(YEAR(Ne1Led+35)=Rok,MONTH(Ne1Led+35)=1),Ne1Led+35, "")</f>
        <v/>
      </c>
      <c r="D10" s="4"/>
      <c r="E10" s="3" t="str">
        <f>IF(AND(YEAR(Ne1Led+35)=Rok,MONTH(Ne1Led+35)=1),Ne1Led+35, "")</f>
        <v/>
      </c>
      <c r="F10" s="4"/>
      <c r="G10" s="3" t="str">
        <f>IF(AND(YEAR(Ne1Led+35)=Rok,MONTH(Ne1Led+35)=1),Ne1Led+35, "")</f>
        <v/>
      </c>
      <c r="H10" s="4"/>
      <c r="I10" s="16"/>
      <c r="J10" s="8"/>
      <c r="K10" s="20"/>
      <c r="L10" s="21"/>
      <c r="M10" s="33"/>
      <c r="N10" s="33"/>
      <c r="O10" s="34"/>
      <c r="Q10" s="3" t="str">
        <f>IF(AND(YEAR(CV+35)=Rok,MONTH(CV+35)=4),CV+35, "")</f>
        <v/>
      </c>
      <c r="R10" s="4"/>
      <c r="S10" s="3" t="str">
        <f>IF(AND(YEAR(CV+36)=Rok,MONTH(CV+36)=4),CV+36, "")</f>
        <v/>
      </c>
      <c r="T10" s="4"/>
      <c r="U10" s="3" t="str">
        <f>IF(AND(YEAR(CV+37)=Rok,MONTH(CV+37)=4),CV+37, "")</f>
        <v/>
      </c>
      <c r="V10" s="4"/>
      <c r="W10" s="3" t="str">
        <f>IF(AND(YEAR(CV+38)=Rok,MONTH(CV+38)=4),CV+38, "")</f>
        <v/>
      </c>
      <c r="X10" s="4"/>
      <c r="Y10" s="3" t="str">
        <f>IF(AND(YEAR(CV+39)=Rok,MONTH(CV+39)=4),CV+39, "")</f>
        <v/>
      </c>
      <c r="Z10" s="4"/>
      <c r="AA10" s="33" t="str">
        <f>IF(AND(YEAR(CV+40)=Rok,MONTH(CV+40)=4),CV+40, "")</f>
        <v/>
      </c>
      <c r="AB10" s="33" t="str">
        <f>IF(AND(YEAR(CV+41)=Rok,MONTH(CV+41)=4),CV+41, "")</f>
        <v/>
      </c>
      <c r="AC10" s="34"/>
      <c r="AE10" s="3" t="str">
        <f>IF(AND(YEAR(Ne1Čvc+37)=Rok,MONTH(Ne1Čvc+37)=7),Ne1Čvc+37, "")</f>
        <v/>
      </c>
      <c r="AF10" s="4"/>
      <c r="AG10" s="3" t="str">
        <f>IF(AND(YEAR(Ne1Čvc+37)=Rok,MONTH(Ne1Čvc+37)=7),Ne1Čvc+37, "")</f>
        <v/>
      </c>
      <c r="AH10" s="4"/>
      <c r="AI10" s="3" t="str">
        <f>IF(AND(YEAR(Ne1Čvc+37)=Rok,MONTH(Ne1Čvc+37)=7),Ne1Čvc+37, "")</f>
        <v/>
      </c>
      <c r="AJ10" s="4"/>
      <c r="AK10" s="16"/>
      <c r="AL10" s="8"/>
      <c r="AM10" s="16"/>
      <c r="AN10" s="8"/>
      <c r="AO10" s="34"/>
      <c r="AP10" s="34"/>
      <c r="AQ10" s="34"/>
      <c r="AS10" s="16" t="str">
        <f>IF(AND(YEAR(Ne1Říj+35)=Rok,MONTH(Ne1Říj+35)=10),Ne1Říj+35, "")</f>
        <v/>
      </c>
      <c r="AT10" s="8"/>
      <c r="AU10" s="37" t="str">
        <f>IF(AND(YEAR(Ne1Říj+35)=Rok,MONTH(Ne1Říj+35)=10),Ne1Říj+35, "")</f>
        <v/>
      </c>
      <c r="AV10" s="38"/>
      <c r="AW10" s="16" t="str">
        <f>IF(AND(YEAR(Ne1Říj+35)=Rok,MONTH(Ne1Říj+35)=10),Ne1Říj+35, "")</f>
        <v/>
      </c>
      <c r="AX10" s="8"/>
      <c r="AY10" s="16" t="str">
        <f>IF(AND(YEAR(Ne1Říj+35)=Rok,MONTH(Ne1Říj+35)=10),Ne1Říj+35, "")</f>
        <v/>
      </c>
      <c r="AZ10" s="8"/>
      <c r="BA10" s="16"/>
      <c r="BB10" s="8"/>
      <c r="BC10" s="34" t="str">
        <f>IF(AND(YEAR(Ne1Říj+33)=Rok,MONTH(Ne1Říj+33)=10),Ne1Říj+33, "")</f>
        <v/>
      </c>
      <c r="BD10" s="34" t="str">
        <f>IF(AND(YEAR(Ne1Říj+34)=Rok,MONTH(Ne1Říj+34)=10),Ne1Říj+34, "")</f>
        <v/>
      </c>
      <c r="BE10" s="39"/>
    </row>
    <row r="11" spans="2:58" ht="18" customHeight="1">
      <c r="C11" s="3" t="str">
        <f>IF(AND(YEAR(Ne1Led+35)=Rok,MONTH(Ne1Led+35)=1),Ne1Led+35, "")</f>
        <v/>
      </c>
      <c r="D11" s="4"/>
      <c r="E11" s="3" t="str">
        <f>IF(AND(YEAR(Ne1Led+36)=Rok,MONTH(Ne1Led+36)=1),Ne1Led+36, "")</f>
        <v/>
      </c>
      <c r="F11" s="4"/>
      <c r="G11" s="3" t="str">
        <f>IF(AND(YEAR(Ne1Led+37)=Rok,MONTH(Ne1Led+37)=1),Ne1Led+37, "")</f>
        <v/>
      </c>
      <c r="H11" s="4"/>
      <c r="I11" s="3" t="str">
        <f>IF(AND(YEAR(Ne1Led+38)=Rok,MONTH(Ne1Led+38)=1),Ne1Led+38, "")</f>
        <v/>
      </c>
      <c r="J11" s="4"/>
      <c r="K11" s="3" t="str">
        <f>IF(AND(YEAR(Ne1Led+39)=Rok,MONTH(Ne1Led+39)=1),Ne1Led+39, "")</f>
        <v/>
      </c>
      <c r="L11" s="4"/>
      <c r="M11" s="33" t="str">
        <f>IF(AND(YEAR(Ne1Led+40)=Rok,MONTH(Ne1Led+40)=1),Ne1Led+40, "")</f>
        <v/>
      </c>
      <c r="N11" s="33" t="str">
        <f>IF(AND(YEAR(Ne1Led+41)=Rok,MONTH(Ne1Led+41)=1),Ne1Led+41, "")</f>
        <v/>
      </c>
      <c r="O11" s="34"/>
      <c r="Q11" s="3" t="str">
        <f>IF(AND(YEAR(CV+35)=Rok,MONTH(CV+35)=4),CV+35, "")</f>
        <v/>
      </c>
      <c r="R11" s="4"/>
      <c r="S11" s="3" t="str">
        <f>IF(AND(YEAR(CV+36)=Rok,MONTH(CV+36)=4),CV+36, "")</f>
        <v/>
      </c>
      <c r="T11" s="4"/>
      <c r="U11" s="3" t="str">
        <f>IF(AND(YEAR(CV+37)=Rok,MONTH(CV+37)=4),CV+37, "")</f>
        <v/>
      </c>
      <c r="V11" s="4"/>
      <c r="W11" s="3" t="str">
        <f>IF(AND(YEAR(CV+38)=Rok,MONTH(CV+38)=4),CV+38, "")</f>
        <v/>
      </c>
      <c r="X11" s="4"/>
      <c r="Y11" s="3" t="str">
        <f>IF(AND(YEAR(CV+39)=Rok,MONTH(CV+39)=4),CV+39, "")</f>
        <v/>
      </c>
      <c r="Z11" s="4"/>
      <c r="AA11" s="33" t="str">
        <f>IF(AND(YEAR(CV+40)=Rok,MONTH(CV+40)=4),CV+40, "")</f>
        <v/>
      </c>
      <c r="AB11" s="33" t="str">
        <f>IF(AND(YEAR(CV+41)=Rok,MONTH(CV+41)=4),CV+41, "")</f>
        <v/>
      </c>
      <c r="AC11" s="34"/>
      <c r="AE11" s="3" t="str">
        <f>IF(AND(YEAR(Ne1Čvc+35)=Rok,MONTH(Ne1Čvc+35)=7),Ne1Čvc+35, "")</f>
        <v/>
      </c>
      <c r="AF11" s="4"/>
      <c r="AG11" s="3" t="str">
        <f>IF(AND(YEAR(Ne1Čvc+36)=Rok,MONTH(Ne1Čvc+36)=7),Ne1Čvc+36, "")</f>
        <v/>
      </c>
      <c r="AH11" s="4"/>
      <c r="AI11" s="3" t="str">
        <f>IF(AND(YEAR(Ne1Čvc+37)=Rok,MONTH(Ne1Čvc+37)=7),Ne1Čvc+37, "")</f>
        <v/>
      </c>
      <c r="AJ11" s="4"/>
      <c r="AK11" s="3" t="str">
        <f>IF(AND(YEAR(Ne1Čvc+38)=Rok,MONTH(Ne1Čvc+38)=7),Ne1Čvc+38, "")</f>
        <v/>
      </c>
      <c r="AL11" s="4"/>
      <c r="AM11" s="3" t="str">
        <f>IF(AND(YEAR(Ne1Čvc+39)=Rok,MONTH(Ne1Čvc+39)=7),Ne1Čvc+39, "")</f>
        <v/>
      </c>
      <c r="AN11" s="4"/>
      <c r="AO11" s="33" t="str">
        <f>IF(AND(YEAR(Ne1Čvc+40)=Rok,MONTH(Ne1Čvc+40)=7),Ne1Čvc+40, "")</f>
        <v/>
      </c>
      <c r="AP11" s="33" t="str">
        <f>IF(AND(YEAR(Ne1Čvc+41)=Rok,MONTH(Ne1Čvc+41)=7),Ne1Čvc+41, "")</f>
        <v/>
      </c>
      <c r="AQ11" s="34"/>
      <c r="AS11" s="16" t="str">
        <f>IF(AND(YEAR(Ne1Říj+35)=Rok,MONTH(Ne1Říj+35)=10),Ne1Říj+35, "")</f>
        <v/>
      </c>
      <c r="AT11" s="8"/>
      <c r="AU11" s="16" t="str">
        <f>IF(AND(YEAR(Ne1Říj+36)=Rok,MONTH(Ne1Říj+36)=10),Ne1Říj+36, "")</f>
        <v/>
      </c>
      <c r="AV11" s="8"/>
      <c r="AW11" s="16" t="str">
        <f>IF(AND(YEAR(Ne1Říj+37)=Rok,MONTH(Ne1Říj+37)=10),Ne1Říj+37, "")</f>
        <v/>
      </c>
      <c r="AX11" s="8"/>
      <c r="AY11" s="16" t="str">
        <f>IF(AND(YEAR(Ne1Říj+38)=Rok,MONTH(Ne1Říj+38)=10),Ne1Říj+38, "")</f>
        <v/>
      </c>
      <c r="AZ11" s="8"/>
      <c r="BA11" s="16" t="str">
        <f>IF(AND(YEAR(Ne1Říj+39)=Rok,MONTH(Ne1Říj+39)=10),Ne1Říj+39, "")</f>
        <v/>
      </c>
      <c r="BB11" s="8"/>
      <c r="BC11" s="34" t="str">
        <f>IF(AND(YEAR(Ne1Říj+40)=Rok,MONTH(Ne1Říj+40)=10),Ne1Říj+40, "")</f>
        <v/>
      </c>
      <c r="BD11" s="34" t="str">
        <f>IF(AND(YEAR(Ne1Říj+41)=Rok,MONTH(Ne1Říj+41)=10),Ne1Říj+41, "")</f>
        <v/>
      </c>
      <c r="BE11" s="39"/>
    </row>
    <row r="12" spans="2:58" ht="6.75" customHeight="1"/>
    <row r="13" spans="2:58" ht="18" customHeight="1">
      <c r="C13" s="83" t="s">
        <v>12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65" t="s">
        <v>1</v>
      </c>
      <c r="Q13" s="83" t="s">
        <v>13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65" t="s">
        <v>1</v>
      </c>
      <c r="AE13" s="83" t="s">
        <v>14</v>
      </c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65" t="s">
        <v>1</v>
      </c>
      <c r="AS13" s="83" t="s">
        <v>15</v>
      </c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65" t="s">
        <v>1</v>
      </c>
    </row>
    <row r="14" spans="2:58" ht="18" customHeight="1" thickBot="1">
      <c r="C14" s="60" t="s">
        <v>5</v>
      </c>
      <c r="D14" s="60"/>
      <c r="E14" s="60" t="s">
        <v>6</v>
      </c>
      <c r="F14" s="60"/>
      <c r="G14" s="60" t="s">
        <v>7</v>
      </c>
      <c r="H14" s="60"/>
      <c r="I14" s="60" t="s">
        <v>8</v>
      </c>
      <c r="J14" s="60"/>
      <c r="K14" s="60" t="s">
        <v>9</v>
      </c>
      <c r="L14" s="60"/>
      <c r="M14" s="62" t="s">
        <v>10</v>
      </c>
      <c r="N14" s="62" t="s">
        <v>11</v>
      </c>
      <c r="O14" s="62"/>
      <c r="Q14" s="60" t="s">
        <v>5</v>
      </c>
      <c r="R14" s="60"/>
      <c r="S14" s="60" t="s">
        <v>6</v>
      </c>
      <c r="T14" s="60"/>
      <c r="U14" s="60" t="s">
        <v>7</v>
      </c>
      <c r="V14" s="60"/>
      <c r="W14" s="61" t="s">
        <v>8</v>
      </c>
      <c r="X14" s="61"/>
      <c r="Y14" s="60" t="s">
        <v>9</v>
      </c>
      <c r="Z14" s="60"/>
      <c r="AA14" s="62" t="s">
        <v>10</v>
      </c>
      <c r="AB14" s="62" t="s">
        <v>11</v>
      </c>
      <c r="AC14" s="62"/>
      <c r="AE14" s="60" t="s">
        <v>5</v>
      </c>
      <c r="AF14" s="60"/>
      <c r="AG14" s="60" t="s">
        <v>6</v>
      </c>
      <c r="AH14" s="60"/>
      <c r="AI14" s="60" t="s">
        <v>7</v>
      </c>
      <c r="AJ14" s="60"/>
      <c r="AK14" s="60" t="s">
        <v>8</v>
      </c>
      <c r="AL14" s="60"/>
      <c r="AM14" s="60" t="s">
        <v>9</v>
      </c>
      <c r="AN14" s="60"/>
      <c r="AO14" s="62" t="s">
        <v>10</v>
      </c>
      <c r="AP14" s="62" t="s">
        <v>11</v>
      </c>
      <c r="AQ14" s="62"/>
      <c r="AS14" s="60" t="s">
        <v>5</v>
      </c>
      <c r="AT14" s="60"/>
      <c r="AU14" s="60" t="s">
        <v>6</v>
      </c>
      <c r="AV14" s="60"/>
      <c r="AW14" s="60" t="s">
        <v>7</v>
      </c>
      <c r="AX14" s="60"/>
      <c r="AY14" s="60" t="s">
        <v>8</v>
      </c>
      <c r="AZ14" s="60"/>
      <c r="BA14" s="60" t="s">
        <v>9</v>
      </c>
      <c r="BB14" s="60"/>
      <c r="BC14" s="62" t="s">
        <v>10</v>
      </c>
      <c r="BD14" s="62" t="s">
        <v>11</v>
      </c>
      <c r="BE14" s="62"/>
    </row>
    <row r="15" spans="2:58" ht="18" customHeight="1" thickTop="1" thickBot="1">
      <c r="C15" s="16" t="str">
        <f>IF(AND(YEAR(CC)=Rok,MONTH(CC)=2),CC, "")</f>
        <v/>
      </c>
      <c r="D15" s="8"/>
      <c r="E15" s="16" t="str">
        <f>IF(AND(YEAR(CC+1)=Rok,MONTH(CC+1)=2),CC+1, "")</f>
        <v/>
      </c>
      <c r="F15" s="8"/>
      <c r="G15" s="16" t="str">
        <f>IF(AND(YEAR(CC+2)=Rok,MONTH(CC+2)=2),CC+2, "")</f>
        <v/>
      </c>
      <c r="H15" s="8"/>
      <c r="I15" s="16" t="str">
        <f>IF(AND(YEAR(CC+2)=Rok,MONTH(CC+2)=2),CC+2, "")</f>
        <v/>
      </c>
      <c r="J15" s="8"/>
      <c r="K15" s="16" t="str">
        <f>IF(AND(YEAR(CC+2)=Rok,MONTH(CC+2)=2),CC+2, "")</f>
        <v/>
      </c>
      <c r="L15" s="8"/>
      <c r="M15" s="10">
        <f>IF(AND(YEAR(CC+5)=Rok,MONTH(CC+5)=2),CC+5, "")</f>
        <v>45689</v>
      </c>
      <c r="N15" s="11">
        <f>IF(AND(YEAR(CC+6)=Rok,MONTH(CC+6)=2),CC+6, "")</f>
        <v>45690</v>
      </c>
      <c r="O15" s="12">
        <v>5</v>
      </c>
      <c r="Q15" s="16" t="str">
        <f>IF(AND(YEAR(cvi)=Rok,MONTH(cvi)=5),cvi, "")</f>
        <v/>
      </c>
      <c r="R15" s="8"/>
      <c r="S15" s="16" t="str">
        <f>IF(AND(YEAR(cvi+1)=Rok,MONTH(cvi+1)=5),cvi+1, "")</f>
        <v/>
      </c>
      <c r="T15" s="8"/>
      <c r="U15" s="3" t="str">
        <f>IF(AND(YEAR(cvi+36)=Rok,MONTH(cvi+36)=5),cvi+36, "")</f>
        <v/>
      </c>
      <c r="V15" s="5"/>
      <c r="W15" s="6">
        <f>IF(AND(YEAR(cvi+3)=Rok,MONTH(cvi+3)=5),cvi+3, "")</f>
        <v>45778</v>
      </c>
      <c r="X15" s="7"/>
      <c r="Y15" s="8">
        <f>IF(AND(YEAR(cvi+4)=Rok,MONTH(cvi+4)=5),cvi+4, "")</f>
        <v>45779</v>
      </c>
      <c r="Z15" s="9"/>
      <c r="AA15" s="10">
        <f>IF(AND(YEAR(cvi+5)=Rok,MONTH(cvi+5)=5),cvi+5, "")</f>
        <v>45780</v>
      </c>
      <c r="AB15" s="11">
        <f>IF(AND(YEAR(cvi+6)=Rok,MONTH(cvi+6)=5),cvi+6, "")</f>
        <v>45781</v>
      </c>
      <c r="AC15" s="12">
        <v>18</v>
      </c>
      <c r="AE15" s="16" t="str">
        <f>IF(AND(YEAR(Ne1Srp+7)=Rok,MONTH(Ne1Srp+7)=8),Ne1Srp+7, "")</f>
        <v/>
      </c>
      <c r="AF15" s="8"/>
      <c r="AG15" s="16" t="str">
        <f>IF(AND(YEAR(Ne1Srp+8)=Rok,MONTH(Ne1Srp+8)=8),Ne1Srp+8, "")</f>
        <v/>
      </c>
      <c r="AH15" s="8"/>
      <c r="AI15" s="16" t="str">
        <f>IF(AND(YEAR(Ne1Srp+9)=Rok,MONTH(Ne1Srp+9)=8),Ne1Srp+9, "")</f>
        <v/>
      </c>
      <c r="AJ15" s="8"/>
      <c r="AK15" s="16" t="str">
        <f>IF(AND(YEAR(Ne1Srp+8)=Rok,MONTH(Ne1Srp+8)=8),Ne1Srp+8, "")</f>
        <v/>
      </c>
      <c r="AL15" s="8"/>
      <c r="AM15" s="9">
        <f>IF(AND(YEAR(Ne1Srp+11)=Rok,MONTH(Ne1Srp+11)=8),Ne1Srp+11, "")</f>
        <v>45870</v>
      </c>
      <c r="AN15" s="9"/>
      <c r="AO15" s="10">
        <f>IF(AND(YEAR(Ne1Srp+12)=Rok,MONTH(Ne1Srp+12)=8),Ne1Srp+12, "")</f>
        <v>45871</v>
      </c>
      <c r="AP15" s="11">
        <f>IF(AND(YEAR(Ne1Srp+13)=Rok,MONTH(Ne1Srp+13)=8),Ne1Srp+13, "")</f>
        <v>45872</v>
      </c>
      <c r="AQ15" s="12">
        <v>31</v>
      </c>
      <c r="AS15" s="16" t="str">
        <f>IF(AND(YEAR(Ne1Lis)=Rok,MONTH(Ne1Lis)=11),Ne1Lis, "")</f>
        <v/>
      </c>
      <c r="AT15" s="8"/>
      <c r="AU15" s="16" t="str">
        <f>IF(AND(YEAR(Ne1Lis+1)=Rok,MONTH(Ne1Lis+1)=11),Ne1Lis+1, "")</f>
        <v/>
      </c>
      <c r="AV15" s="8"/>
      <c r="AW15" s="16" t="str">
        <f>IF(AND(YEAR(Ne1Lis+2)=Rok,MONTH(Ne1Lis+2)=11),Ne1Lis+2, "")</f>
        <v/>
      </c>
      <c r="AX15" s="8"/>
      <c r="AY15" s="16" t="str">
        <f>IF(AND(YEAR(Ne1Lis+3)=Rok,MONTH(Ne1Lis+3)=11),Ne1Lis+3, "")</f>
        <v/>
      </c>
      <c r="AZ15" s="8"/>
      <c r="BA15" s="16" t="str">
        <f>IF(AND(YEAR(Ne1Srp+7)=Rok,MONTH(Ne1Srp+7)=8),Ne1Srp+7, "")</f>
        <v/>
      </c>
      <c r="BB15" s="8"/>
      <c r="BC15" s="10">
        <f>IF(AND(YEAR(Ne1Lis+5)=Rok,MONTH(Ne1Lis+5)=11),Ne1Lis+5, "")</f>
        <v>45962</v>
      </c>
      <c r="BD15" s="11">
        <f>IF(AND(YEAR(Ne1Lis+6)=Rok,MONTH(Ne1Lis+6)=11),Ne1Lis+6, "")</f>
        <v>45963</v>
      </c>
      <c r="BE15" s="23">
        <v>44</v>
      </c>
    </row>
    <row r="16" spans="2:58" ht="18" customHeight="1" thickTop="1" thickBot="1">
      <c r="C16" s="67">
        <f>IF(AND(YEAR(CC+7)=Rok,MONTH(CC+7)=2),CC+7, "")</f>
        <v>45691</v>
      </c>
      <c r="D16" s="67"/>
      <c r="E16" s="9">
        <f>IF(AND(YEAR(CC+8)=Rok,MONTH(CC+8)=2),CC+8, "")</f>
        <v>45692</v>
      </c>
      <c r="F16" s="9"/>
      <c r="G16" s="9">
        <f>IF(AND(YEAR(CC+9)=Rok,MONTH(CC+9)=2),CC+9, "")</f>
        <v>45693</v>
      </c>
      <c r="H16" s="9"/>
      <c r="I16" s="9">
        <f>IF(AND(YEAR(CC+10)=Rok,MONTH(CC+10)=2),CC+10, "")</f>
        <v>45694</v>
      </c>
      <c r="J16" s="9"/>
      <c r="K16" s="9">
        <f>IF(AND(YEAR(CC+11)=Rok,MONTH(CC+11)=2),CC+11, "")</f>
        <v>45695</v>
      </c>
      <c r="L16" s="9"/>
      <c r="M16" s="10">
        <f>IF(AND(YEAR(CC+12)=Rok,MONTH(CC+12)=2),CC+12, "")</f>
        <v>45696</v>
      </c>
      <c r="N16" s="11">
        <f>IF(AND(YEAR(CC+13)=Rok,MONTH(CC+13)=2),CC+13, "")</f>
        <v>45697</v>
      </c>
      <c r="O16" s="12">
        <v>6</v>
      </c>
      <c r="Q16" s="67">
        <f>IF(AND(YEAR(cvi+7)=Rok,MONTH(cvi+7)=5),cvi+7, "")</f>
        <v>45782</v>
      </c>
      <c r="R16" s="67"/>
      <c r="S16" s="26">
        <f>IF(AND(YEAR(cvi+8)=Rok,MONTH(cvi+8)=5),cvi+8, "")</f>
        <v>45783</v>
      </c>
      <c r="T16" s="26"/>
      <c r="U16" s="9">
        <f>IF(AND(YEAR(cvi+9)=Rok,MONTH(cvi+9)=5),cvi+9, "")</f>
        <v>45784</v>
      </c>
      <c r="V16" s="16"/>
      <c r="W16" s="6">
        <f>IF(AND(YEAR(cvi+10)=Rok,MONTH(cvi+10)=5),cvi+10, "")</f>
        <v>45785</v>
      </c>
      <c r="X16" s="7"/>
      <c r="Y16" s="8">
        <f>IF(AND(YEAR(cvi+11)=Rok,MONTH(cvi+11)=5),cvi+11, "")</f>
        <v>45786</v>
      </c>
      <c r="Z16" s="9"/>
      <c r="AA16" s="10">
        <f>IF(AND(YEAR(cvi+12)=Rok,MONTH(cvi+12)=5),cvi+12, "")</f>
        <v>45787</v>
      </c>
      <c r="AB16" s="11">
        <f>IF(AND(YEAR(cvi+13)=Rok,MONTH(cvi+13)=5),cvi+13, "")</f>
        <v>45788</v>
      </c>
      <c r="AC16" s="12">
        <v>19</v>
      </c>
      <c r="AE16" s="67">
        <f>IF(AND(YEAR(Ne1Srp+14)=Rok,MONTH(Ne1Srp+14)=8),Ne1Srp+14, "")</f>
        <v>45873</v>
      </c>
      <c r="AF16" s="67"/>
      <c r="AG16" s="9">
        <f>IF(AND(YEAR(Ne1Srp+15)=Rok,MONTH(Ne1Srp+15)=8),Ne1Srp+15, "")</f>
        <v>45874</v>
      </c>
      <c r="AH16" s="9"/>
      <c r="AI16" s="9">
        <f>IF(AND(YEAR(Ne1Srp+16)=Rok,MONTH(Ne1Srp+16)=8),Ne1Srp+16, "")</f>
        <v>45875</v>
      </c>
      <c r="AJ16" s="9"/>
      <c r="AK16" s="74">
        <f>IF(AND(YEAR(Ne1Srp+17)=Rok,MONTH(Ne1Srp+17)=8),Ne1Srp+17, "")</f>
        <v>45876</v>
      </c>
      <c r="AL16" s="22"/>
      <c r="AM16" s="9">
        <f>IF(AND(YEAR(Ne1Srp+18)=Rok,MONTH(Ne1Srp+18)=8),Ne1Srp+18, "")</f>
        <v>45877</v>
      </c>
      <c r="AN16" s="9"/>
      <c r="AO16" s="10">
        <f>IF(AND(YEAR(Ne1Srp+19)=Rok,MONTH(Ne1Srp+19)=8),Ne1Srp+19, "")</f>
        <v>45878</v>
      </c>
      <c r="AP16" s="11">
        <f>IF(AND(YEAR(Ne1Srp+20)=Rok,MONTH(Ne1Srp+20)=8),Ne1Srp+20, "")</f>
        <v>45879</v>
      </c>
      <c r="AQ16" s="23">
        <v>32</v>
      </c>
      <c r="AS16" s="67">
        <f>IF(AND(YEAR(Ne1Lis+7)=Rok,MONTH(Ne1Lis+7)=11),Ne1Lis+7, "")</f>
        <v>45964</v>
      </c>
      <c r="AT16" s="67"/>
      <c r="AU16" s="9">
        <f>IF(AND(YEAR(Ne1Lis+8)=Rok,MONTH(Ne1Lis+8)=11),Ne1Lis+8, "")</f>
        <v>45965</v>
      </c>
      <c r="AV16" s="9"/>
      <c r="AW16" s="9">
        <f>IF(AND(YEAR(Ne1Lis+9)=Rok,MONTH(Ne1Lis+9)=11),Ne1Lis+9, "")</f>
        <v>45966</v>
      </c>
      <c r="AX16" s="9"/>
      <c r="AY16" s="9">
        <f>IF(AND(YEAR(Ne1Lis+10)=Rok,MONTH(Ne1Lis+10)=11),Ne1Lis+10, "")</f>
        <v>45967</v>
      </c>
      <c r="AZ16" s="9"/>
      <c r="BA16" s="9">
        <f>IF(AND(YEAR(Ne1Lis+11)=Rok,MONTH(Ne1Lis+11)=11),Ne1Lis+11, "")</f>
        <v>45968</v>
      </c>
      <c r="BB16" s="9"/>
      <c r="BC16" s="10">
        <f>IF(AND(YEAR(Ne1Lis+12)=Rok,MONTH(Ne1Lis+12)=11),Ne1Lis+12, "")</f>
        <v>45969</v>
      </c>
      <c r="BD16" s="11">
        <f>IF(AND(YEAR(Ne1Lis+13)=Rok,MONTH(Ne1Lis+13)=11),Ne1Lis+13, "")</f>
        <v>45970</v>
      </c>
      <c r="BE16" s="23">
        <v>45</v>
      </c>
    </row>
    <row r="17" spans="2:57" ht="18" customHeight="1" thickTop="1" thickBot="1">
      <c r="C17" s="67">
        <f>IF(AND(YEAR(CC+14)=Rok,MONTH(CC+14)=2),CC+14, "")</f>
        <v>45698</v>
      </c>
      <c r="D17" s="67"/>
      <c r="E17" s="26">
        <f>IF(AND(YEAR(CC+15)=Rok,MONTH(CC+15)=2),CC+15, "")</f>
        <v>45699</v>
      </c>
      <c r="F17" s="26"/>
      <c r="G17" s="9">
        <f>IF(AND(YEAR(CC+16)=Rok,MONTH(CC+16)=2),CC+16, "")</f>
        <v>45700</v>
      </c>
      <c r="H17" s="9"/>
      <c r="I17" s="9">
        <f>IF(AND(YEAR(CC+17)=Rok,MONTH(CC+17)=2),CC+17, "")</f>
        <v>45701</v>
      </c>
      <c r="J17" s="9"/>
      <c r="K17" s="9">
        <f>IF(AND(YEAR(CC+18)=Rok,MONTH(CC+18)=2),CC+18, "")</f>
        <v>45702</v>
      </c>
      <c r="L17" s="9"/>
      <c r="M17" s="10">
        <f>IF(AND(YEAR(CC+19)=Rok,MONTH(CC+19)=2),CC+19, "")</f>
        <v>45703</v>
      </c>
      <c r="N17" s="11">
        <f>IF(AND(YEAR(CC+20)=Rok,MONTH(CC+20)=2),CC+20, "")</f>
        <v>45704</v>
      </c>
      <c r="O17" s="12">
        <v>7</v>
      </c>
      <c r="Q17" s="67">
        <f>IF(AND(YEAR(cvi+14)=Rok,MONTH(cvi+14)=5),cvi+14, "")</f>
        <v>45789</v>
      </c>
      <c r="R17" s="67"/>
      <c r="S17" s="9">
        <f>IF(AND(YEAR(cvi+15)=Rok,MONTH(cvi+15)=5),cvi+15, "")</f>
        <v>45790</v>
      </c>
      <c r="T17" s="9"/>
      <c r="U17" s="9">
        <f>IF(AND(YEAR(cvi+16)=Rok,MONTH(cvi+16)=5),cvi+16, "")</f>
        <v>45791</v>
      </c>
      <c r="V17" s="9"/>
      <c r="W17" s="40">
        <f>IF(AND(YEAR(cvi+17)=Rok,MONTH(cvi+17)=5),cvi+17, "")</f>
        <v>45792</v>
      </c>
      <c r="X17" s="40"/>
      <c r="Y17" s="9">
        <f>IF(AND(YEAR(cvi+18)=Rok,MONTH(cvi+18)=5),cvi+18, "")</f>
        <v>45793</v>
      </c>
      <c r="Z17" s="9"/>
      <c r="AA17" s="10">
        <f>IF(AND(YEAR(cvi+19)=Rok,MONTH(cvi+19)=5),cvi+19, "")</f>
        <v>45794</v>
      </c>
      <c r="AB17" s="11">
        <f>IF(AND(YEAR(cvi+20)=Rok,MONTH(cvi+20)=5),cvi+20, "")</f>
        <v>45795</v>
      </c>
      <c r="AC17" s="12">
        <v>20</v>
      </c>
      <c r="AE17" s="67">
        <f>IF(AND(YEAR(Ne1Srp+21)=Rok,MONTH(Ne1Srp+21)=8),Ne1Srp+21, "")</f>
        <v>45880</v>
      </c>
      <c r="AF17" s="67"/>
      <c r="AG17" s="9">
        <f>IF(AND(YEAR(Ne1Srp+22)=Rok,MONTH(Ne1Srp+22)=8),Ne1Srp+22, "")</f>
        <v>45881</v>
      </c>
      <c r="AH17" s="9"/>
      <c r="AI17" s="9">
        <f>IF(AND(YEAR(Ne1Srp+23)=Rok,MONTH(Ne1Srp+23)=8),Ne1Srp+23, "")</f>
        <v>45882</v>
      </c>
      <c r="AJ17" s="9"/>
      <c r="AK17" s="9">
        <f>IF(AND(YEAR(Ne1Srp+24)=Rok,MONTH(Ne1Srp+24)=8),Ne1Srp+24, "")</f>
        <v>45883</v>
      </c>
      <c r="AL17" s="9"/>
      <c r="AM17" s="9">
        <f>IF(AND(YEAR(Ne1Srp+25)=Rok,MONTH(Ne1Srp+25)=8),Ne1Srp+25, "")</f>
        <v>45884</v>
      </c>
      <c r="AN17" s="9"/>
      <c r="AO17" s="10">
        <f>IF(AND(YEAR(Ne1Srp+26)=Rok,MONTH(Ne1Srp+26)=8),Ne1Srp+26, "")</f>
        <v>45885</v>
      </c>
      <c r="AP17" s="11">
        <f>IF(AND(YEAR(Ne1Srp+27)=Rok,MONTH(Ne1Srp+27)=8),Ne1Srp+27, "")</f>
        <v>45886</v>
      </c>
      <c r="AQ17" s="23">
        <v>33</v>
      </c>
      <c r="AS17" s="68">
        <f>IF(AND(YEAR(Ne1Lis+14)=Rok,MONTH(Ne1Lis+14)=11),Ne1Lis+14, "")</f>
        <v>45971</v>
      </c>
      <c r="AT17" s="68"/>
      <c r="AU17" s="26">
        <f>IF(AND(YEAR(Ne1Lis+15)=Rok,MONTH(Ne1Lis+15)=11),Ne1Lis+15, "")</f>
        <v>45972</v>
      </c>
      <c r="AV17" s="26"/>
      <c r="AW17" s="9">
        <f>IF(AND(YEAR(Ne1Lis+16)=Rok,MONTH(Ne1Lis+16)=11),Ne1Lis+16, "")</f>
        <v>45973</v>
      </c>
      <c r="AX17" s="9"/>
      <c r="AY17" s="74">
        <f>IF(AND(YEAR(Ne1Lis+17)=Rok,MONTH(Ne1Lis+17)=11),Ne1Lis+17, "")</f>
        <v>45974</v>
      </c>
      <c r="AZ17" s="74"/>
      <c r="BA17" s="9">
        <f>IF(AND(YEAR(Ne1Lis+18)=Rok,MONTH(Ne1Lis+18)=11),Ne1Lis+18, "")</f>
        <v>45975</v>
      </c>
      <c r="BB17" s="9"/>
      <c r="BC17" s="10">
        <f>IF(AND(YEAR(Ne1Lis+19)=Rok,MONTH(Ne1Lis+19)=11),Ne1Lis+19, "")</f>
        <v>45976</v>
      </c>
      <c r="BD17" s="11">
        <f>IF(AND(YEAR(Ne1Lis+20)=Rok,MONTH(Ne1Lis+20)=11),Ne1Lis+20, "")</f>
        <v>45977</v>
      </c>
      <c r="BE17" s="23">
        <v>46</v>
      </c>
    </row>
    <row r="18" spans="2:57" ht="18" customHeight="1" thickTop="1" thickBot="1">
      <c r="C18" s="67">
        <f>IF(AND(YEAR(CC+21)=Rok,MONTH(CC+21)=2),CC+21, "")</f>
        <v>45705</v>
      </c>
      <c r="D18" s="67"/>
      <c r="E18" s="9">
        <f>IF(AND(YEAR(CC+22)=Rok,MONTH(CC+22)=2),CC+22, "")</f>
        <v>45706</v>
      </c>
      <c r="F18" s="9"/>
      <c r="G18" s="9">
        <f>IF(AND(YEAR(CC+23)=Rok,MONTH(CC+23)=2),CC+23, "")</f>
        <v>45707</v>
      </c>
      <c r="H18" s="9"/>
      <c r="I18" s="22">
        <f>IF(AND(YEAR(CC+24)=Rok,MONTH(CC+24)=2),CC+24, "")</f>
        <v>45708</v>
      </c>
      <c r="J18" s="22"/>
      <c r="K18" s="9">
        <f>IF(AND(YEAR(CC+25)=Rok,MONTH(CC+25)=2),CC+25, "")</f>
        <v>45709</v>
      </c>
      <c r="L18" s="9"/>
      <c r="M18" s="10">
        <f>IF(AND(YEAR(CC+26)=Rok,MONTH(CC+26)=2),CC+26, "")</f>
        <v>45710</v>
      </c>
      <c r="N18" s="11">
        <f>IF(AND(YEAR(CC+27)=Rok,MONTH(CC+27)=2),CC+27, "")</f>
        <v>45711</v>
      </c>
      <c r="O18" s="12">
        <v>8</v>
      </c>
      <c r="Q18" s="67">
        <f>IF(AND(YEAR(cvi+21)=Rok,MONTH(cvi+21)=5),cvi+21, "")</f>
        <v>45796</v>
      </c>
      <c r="R18" s="67"/>
      <c r="S18" s="9">
        <f>IF(AND(YEAR(cvi+22)=Rok,MONTH(cvi+22)=5),cvi+22, "")</f>
        <v>45797</v>
      </c>
      <c r="T18" s="9"/>
      <c r="U18" s="9">
        <f>IF(AND(YEAR(cvi+23)=Rok,MONTH(cvi+23)=5),cvi+23, "")</f>
        <v>45798</v>
      </c>
      <c r="V18" s="9"/>
      <c r="W18" s="9">
        <f>IF(AND(YEAR(cvi+24)=Rok,MONTH(cvi+24)=5),cvi+24, "")</f>
        <v>45799</v>
      </c>
      <c r="X18" s="9"/>
      <c r="Y18" s="9">
        <f>IF(AND(YEAR(cvi+25)=Rok,MONTH(cvi+25)=5),cvi+25, "")</f>
        <v>45800</v>
      </c>
      <c r="Z18" s="9"/>
      <c r="AA18" s="10">
        <f>IF(AND(YEAR(cvi+26)=Rok,MONTH(cvi+26)=5),cvi+26, "")</f>
        <v>45801</v>
      </c>
      <c r="AB18" s="11">
        <f>IF(AND(YEAR(cvi+27)=Rok,MONTH(cvi+27)=5),cvi+27, "")</f>
        <v>45802</v>
      </c>
      <c r="AC18" s="12">
        <v>21</v>
      </c>
      <c r="AE18" s="67">
        <f>IF(AND(YEAR(Ne1Srp+28)=Rok,MONTH(Ne1Srp+28)=8),Ne1Srp+28, "")</f>
        <v>45887</v>
      </c>
      <c r="AF18" s="67"/>
      <c r="AG18" s="26">
        <f>IF(AND(YEAR(Ne1Srp+29)=Rok,MONTH(Ne1Srp+29)=8),Ne1Srp+29, "")</f>
        <v>45888</v>
      </c>
      <c r="AH18" s="26"/>
      <c r="AI18" s="9">
        <f>IF(AND(YEAR(Ne1Srp+30)=Rok,MONTH(Ne1Srp+30)=8),Ne1Srp+30, "")</f>
        <v>45889</v>
      </c>
      <c r="AJ18" s="9"/>
      <c r="AK18" s="74">
        <f>IF(AND(YEAR(Ne1Srp+31)=Rok,MONTH(Ne1Srp+31)=8),Ne1Srp+31, "")</f>
        <v>45890</v>
      </c>
      <c r="AL18" s="74"/>
      <c r="AM18" s="9">
        <f>IF(AND(YEAR(Ne1Srp+32)=Rok,MONTH(Ne1Srp+32)=8),Ne1Srp+32, "")</f>
        <v>45891</v>
      </c>
      <c r="AN18" s="9"/>
      <c r="AO18" s="10">
        <f>IF(AND(YEAR(Ne1Srp+33)=Rok,MONTH(Ne1Srp+33)=8),Ne1Srp+33, "")</f>
        <v>45892</v>
      </c>
      <c r="AP18" s="11">
        <f>IF(AND(YEAR(Ne1Srp+34)=Rok,MONTH(Ne1Srp+34)=8),Ne1Srp+34, "")</f>
        <v>45893</v>
      </c>
      <c r="AQ18" s="23">
        <v>34</v>
      </c>
      <c r="AS18" s="69">
        <f>IF(AND(YEAR(Ne1Lis+21)=Rok,MONTH(Ne1Lis+21)=11),Ne1Lis+21, "")</f>
        <v>45978</v>
      </c>
      <c r="AT18" s="70"/>
      <c r="AU18" s="8">
        <f>IF(AND(YEAR(Ne1Lis+22)=Rok,MONTH(Ne1Lis+22)=11),Ne1Lis+22, "")</f>
        <v>45979</v>
      </c>
      <c r="AV18" s="9"/>
      <c r="AW18" s="9">
        <f>IF(AND(YEAR(Ne1Lis+23)=Rok,MONTH(Ne1Lis+23)=11),Ne1Lis+23, "")</f>
        <v>45980</v>
      </c>
      <c r="AX18" s="9"/>
      <c r="AY18" s="9">
        <f>IF(AND(YEAR(Ne1Lis+24)=Rok,MONTH(Ne1Lis+24)=11),Ne1Lis+24, "")</f>
        <v>45981</v>
      </c>
      <c r="AZ18" s="9"/>
      <c r="BA18" s="9">
        <f>IF(AND(YEAR(Ne1Lis+25)=Rok,MONTH(Ne1Lis+25)=11),Ne1Lis+25, "")</f>
        <v>45982</v>
      </c>
      <c r="BB18" s="9"/>
      <c r="BC18" s="10">
        <f>IF(AND(YEAR(Ne1Lis+26)=Rok,MONTH(Ne1Lis+26)=11),Ne1Lis+26, "")</f>
        <v>45983</v>
      </c>
      <c r="BD18" s="11">
        <f>IF(AND(YEAR(Ne1Lis+27)=Rok,MONTH(Ne1Lis+27)=11),Ne1Lis+27, "")</f>
        <v>45984</v>
      </c>
      <c r="BE18" s="23">
        <v>47</v>
      </c>
    </row>
    <row r="19" spans="2:57" ht="18" customHeight="1" thickTop="1">
      <c r="C19" s="67">
        <f>IF(AND(YEAR(CC+28)=Rok,MONTH(CC+28)=2),CC+28, "")</f>
        <v>45712</v>
      </c>
      <c r="D19" s="67"/>
      <c r="E19" s="29">
        <f>IF(AND(YEAR(CC+29)=Rok,MONTH(CC+29)=2),CC+29, "")</f>
        <v>45713</v>
      </c>
      <c r="F19" s="29"/>
      <c r="G19" s="29">
        <f>IF(AND(YEAR(CC+30)=Rok,MONTH(CC+30)=2),CC+30, "")</f>
        <v>45714</v>
      </c>
      <c r="H19" s="29"/>
      <c r="I19" s="29">
        <f>IF(AND(YEAR(CC+31)=Rok,MONTH(CC+31)=2),CC+31, "")</f>
        <v>45715</v>
      </c>
      <c r="J19" s="29"/>
      <c r="K19" s="20">
        <f>IF(AND(YEAR(CC+32)=Rok,MONTH(CC+32)=2),CC+32, "")</f>
        <v>45716</v>
      </c>
      <c r="L19" s="21"/>
      <c r="M19" s="33" t="str">
        <f>IF(AND(YEAR(CC+33)=Rok,MONTH(CC+33)=2),CC+33, "")</f>
        <v/>
      </c>
      <c r="N19" s="33" t="str">
        <f>IF(AND(YEAR(CC+34)=Rok,MONTH(CC+34)=2),CC+34, "")</f>
        <v/>
      </c>
      <c r="O19" s="12">
        <v>9</v>
      </c>
      <c r="Q19" s="67">
        <f>IF(AND(YEAR(cvi+28)=Rok,MONTH(cvi+28)=5),cvi+28, "")</f>
        <v>45803</v>
      </c>
      <c r="R19" s="67"/>
      <c r="S19" s="26">
        <f>IF(AND(YEAR(cvi+29)=Rok,MONTH(cvi+29)=5),cvi+29, "")</f>
        <v>45804</v>
      </c>
      <c r="T19" s="26"/>
      <c r="U19" s="9">
        <f>IF(AND(YEAR(cvi+30)=Rok,MONTH(cvi+30)=5),cvi+30, "")</f>
        <v>45805</v>
      </c>
      <c r="V19" s="9"/>
      <c r="W19" s="9">
        <f>IF(AND(YEAR(cvi+31)=Rok,MONTH(cvi+31)=5),cvi+31, "")</f>
        <v>45806</v>
      </c>
      <c r="X19" s="9"/>
      <c r="Y19" s="9">
        <f>IF(AND(YEAR(cvi+32)=Rok,MONTH(cvi+32)=5),cvi+32, "")</f>
        <v>45807</v>
      </c>
      <c r="Z19" s="9"/>
      <c r="AA19" s="10">
        <f>IF(AND(YEAR(cvi+33)=Rok,MONTH(cvi+33)=5),cvi+33, "")</f>
        <v>45808</v>
      </c>
      <c r="AB19" s="33" t="str">
        <f>IF(AND(YEAR(cvi+34)=Rok,MONTH(cvi+34)=5),cvi+34, "")</f>
        <v/>
      </c>
      <c r="AC19" s="12">
        <v>22</v>
      </c>
      <c r="AE19" s="67">
        <f>IF(AND(YEAR(Ne1Srp+35)=Rok,MONTH(Ne1Srp+35)=8),Ne1Srp+35, "")</f>
        <v>45894</v>
      </c>
      <c r="AF19" s="67"/>
      <c r="AG19" s="9">
        <f>IF(AND(YEAR(Ne1Srp+36)=Rok,MONTH(Ne1Srp+36)=8),Ne1Srp+36, "")</f>
        <v>45895</v>
      </c>
      <c r="AH19" s="9"/>
      <c r="AI19" s="9">
        <f>IF(AND(YEAR(Ne1Srp+37)=Rok,MONTH(Ne1Srp+37)=8),Ne1Srp+37, "")</f>
        <v>45896</v>
      </c>
      <c r="AJ19" s="9"/>
      <c r="AK19" s="9">
        <f>IF(AND(YEAR(Ne1Srp+38)=Rok,MONTH(Ne1Srp+38)=8),Ne1Srp+38, "")</f>
        <v>45897</v>
      </c>
      <c r="AL19" s="9"/>
      <c r="AM19" s="9">
        <f>IF(AND(YEAR(Ne1Srp+39)=Rok,MONTH(Ne1Srp+39)=8),Ne1Srp+39, "")</f>
        <v>45898</v>
      </c>
      <c r="AN19" s="9"/>
      <c r="AO19" s="10">
        <f>IF(AND(YEAR(Ne1Srp+40)=Rok,MONTH(Ne1Srp+40)=8),Ne1Srp+40, "")</f>
        <v>45899</v>
      </c>
      <c r="AP19" s="11">
        <v>31</v>
      </c>
      <c r="AQ19" s="23">
        <v>35</v>
      </c>
      <c r="AS19" s="71">
        <f>IF(AND(YEAR(Ne1Lis+28)=Rok,MONTH(Ne1Lis+28)=11),Ne1Lis+28, "")</f>
        <v>45985</v>
      </c>
      <c r="AT19" s="71"/>
      <c r="AU19" s="9">
        <f>IF(AND(YEAR(Ne1Lis+29)=Rok,MONTH(Ne1Lis+29)=11),Ne1Lis+29, "")</f>
        <v>45986</v>
      </c>
      <c r="AV19" s="9"/>
      <c r="AW19" s="9">
        <f>IF(AND(YEAR(Ne1Lis+30)=Rok,MONTH(Ne1Lis+30)=11),Ne1Lis+30, "")</f>
        <v>45987</v>
      </c>
      <c r="AX19" s="9"/>
      <c r="AY19" s="74">
        <f>IF(AND(YEAR(Ne1Lis+31)=Rok,MONTH(Ne1Lis+31)=11),Ne1Lis+31, "")</f>
        <v>45988</v>
      </c>
      <c r="AZ19" s="22"/>
      <c r="BA19" s="9">
        <f>IF(AND(YEAR(Ne1Lis+32)=Rok,MONTH(Ne1Lis+32)=11),Ne1Lis+32, "")</f>
        <v>45989</v>
      </c>
      <c r="BB19" s="9"/>
      <c r="BC19" s="10">
        <f>IF(AND(YEAR(Ne1Lis+33)=Rok,MONTH(Ne1Lis+33)=11),Ne1Lis+33, "")</f>
        <v>45990</v>
      </c>
      <c r="BD19" s="11">
        <f>IF(AND(YEAR(Ne1Lis+34)=Rok,MONTH(Ne1Lis+34)=11),Ne1Lis+34, "")</f>
        <v>45991</v>
      </c>
      <c r="BE19" s="23">
        <v>48</v>
      </c>
    </row>
    <row r="20" spans="2:57" ht="18" customHeight="1">
      <c r="C20" s="3" t="str">
        <f>IF(AND(YEAR(CC+35)=Rok,MONTH(CC+35)=2),CC+35, "")</f>
        <v/>
      </c>
      <c r="D20" s="4"/>
      <c r="E20" s="3" t="str">
        <f>IF(AND(YEAR(CC+36)=Rok,MONTH(CC+36)=2),CC+36, "")</f>
        <v/>
      </c>
      <c r="F20" s="4"/>
      <c r="G20" s="3" t="str">
        <f>IF(AND(YEAR(CC+37)=Rok,MONTH(CC+37)=2),CC+37, "")</f>
        <v/>
      </c>
      <c r="H20" s="4"/>
      <c r="I20" s="3" t="str">
        <f>IF(AND(YEAR(CC+38)=Rok,MONTH(CC+38)=2),CC+38, "")</f>
        <v/>
      </c>
      <c r="J20" s="4"/>
      <c r="K20" s="3" t="str">
        <f>IF(AND(YEAR(CC+39)=Rok,MONTH(CC+39)=2),CC+39, "")</f>
        <v/>
      </c>
      <c r="L20" s="4"/>
      <c r="M20" s="33" t="str">
        <f>IF(AND(YEAR(CC+40)=Rok,MONTH(CC+40)=2),CC+40, "")</f>
        <v/>
      </c>
      <c r="N20" s="33" t="str">
        <f>IF(AND(YEAR(CC+41)=Rok,MONTH(CC+41)=2),CC+41, "")</f>
        <v/>
      </c>
      <c r="O20" s="33"/>
      <c r="Q20" s="3" t="str">
        <f>IF(AND(YEAR(cvi+35)=Rok,MONTH(cvi+35)=5),cvi+35, "")</f>
        <v/>
      </c>
      <c r="R20" s="4"/>
      <c r="S20" s="3" t="str">
        <f>IF(AND(YEAR(cvi+36)=Rok,MONTH(cvi+36)=5),cvi+36, "")</f>
        <v/>
      </c>
      <c r="T20" s="4"/>
      <c r="U20" s="41" t="str">
        <f>IF(AND(YEAR(cvi+37)=Rok,MONTH(cvi+37)=5),cvi+37, "")</f>
        <v/>
      </c>
      <c r="V20" s="42"/>
      <c r="W20" s="3" t="str">
        <f>IF(AND(YEAR(cvi+38)=Rok,MONTH(cvi+38)=5),cvi+38, "")</f>
        <v/>
      </c>
      <c r="X20" s="4"/>
      <c r="Y20" s="3" t="str">
        <f>IF(AND(YEAR(cvi+39)=Rok,MONTH(cvi+39)=5),cvi+39, "")</f>
        <v/>
      </c>
      <c r="Z20" s="4"/>
      <c r="AA20" s="33" t="str">
        <f>IF(AND(YEAR(cvi+40)=Rok,MONTH(cvi+40)=5),cvi+40, "")</f>
        <v/>
      </c>
      <c r="AB20" s="33" t="str">
        <f>IF(AND(YEAR(cvi+41)=Rok,MONTH(cvi+41)=5),cvi+41, "")</f>
        <v/>
      </c>
      <c r="AC20" s="33"/>
      <c r="AE20" s="16" t="str">
        <f>IF(AND(YEAR(Ne1Srp+7)=Rok,MONTH(Ne1Srp+7)=8),Ne1Srp+7, "")</f>
        <v/>
      </c>
      <c r="AF20" s="8"/>
      <c r="AG20" s="16" t="str">
        <f>IF(AND(YEAR(Ne1Srp+7)=Rok,MONTH(Ne1Srp+7)=8),Ne1Srp+7, "")</f>
        <v/>
      </c>
      <c r="AH20" s="8"/>
      <c r="AI20" s="16" t="str">
        <f>IF(AND(YEAR(Ne1Srp+7)=Rok,MONTH(Ne1Srp+7)=8),Ne1Srp+7, "")</f>
        <v/>
      </c>
      <c r="AJ20" s="8"/>
      <c r="AK20" s="16" t="str">
        <f>IF(AND(YEAR(Ne1Srp+7)=Rok,MONTH(Ne1Srp+7)=8),Ne1Srp+7, "")</f>
        <v/>
      </c>
      <c r="AL20" s="8"/>
      <c r="AM20" s="16" t="str">
        <f>IF(AND(YEAR(Ne1Srp+7)=Rok,MONTH(Ne1Srp+7)=8),Ne1Srp+7, "")</f>
        <v/>
      </c>
      <c r="AN20" s="8"/>
      <c r="AO20" s="34"/>
      <c r="AP20" s="34"/>
      <c r="AQ20" s="39"/>
      <c r="AS20" s="20" t="str">
        <f>IF(AND(YEAR(Ne1Lis+35)=Rok,MONTH(Ne1Lis+35)=11),Ne1Lis+35, "")</f>
        <v/>
      </c>
      <c r="AT20" s="21"/>
      <c r="AU20" s="20" t="str">
        <f>IF(AND(YEAR(Ne1Lis+36)=Rok,MONTH(Ne1Lis+36)=11),Ne1Lis+36, "")</f>
        <v/>
      </c>
      <c r="AV20" s="21"/>
      <c r="AW20" s="20" t="str">
        <f>IF(AND(YEAR(Ne1Lis+37)=Rok,MONTH(Ne1Lis+37)=11),Ne1Lis+37, "")</f>
        <v/>
      </c>
      <c r="AX20" s="21"/>
      <c r="AY20" s="20" t="str">
        <f>IF(AND(YEAR(Ne1Lis+38)=Rok,MONTH(Ne1Lis+38)=11),Ne1Lis+38, "")</f>
        <v/>
      </c>
      <c r="AZ20" s="21"/>
      <c r="BA20" s="20" t="str">
        <f>IF(AND(YEAR(Ne1Lis+39)=Rok,MONTH(Ne1Lis+39)=11),Ne1Lis+39, "")</f>
        <v/>
      </c>
      <c r="BB20" s="21"/>
      <c r="BC20" s="33" t="str">
        <f>IF(AND(YEAR(Ne1Lis+40)=Rok,MONTH(Ne1Lis+40)=11),Ne1Lis+40, "")</f>
        <v/>
      </c>
      <c r="BD20" s="33" t="str">
        <f>IF(AND(YEAR(Ne1Lis+41)=Rok,MONTH(Ne1Lis+41)=11),Ne1Lis+41, "")</f>
        <v/>
      </c>
      <c r="BE20" s="43"/>
    </row>
    <row r="21" spans="2:57" ht="6.75" customHeight="1"/>
    <row r="22" spans="2:57" ht="18" customHeight="1">
      <c r="C22" s="83" t="s">
        <v>16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65" t="s">
        <v>1</v>
      </c>
      <c r="Q22" s="83" t="s">
        <v>17</v>
      </c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65" t="s">
        <v>1</v>
      </c>
      <c r="AE22" s="83" t="s">
        <v>18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65" t="s">
        <v>1</v>
      </c>
      <c r="AS22" s="83" t="s">
        <v>19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64" t="s">
        <v>1</v>
      </c>
    </row>
    <row r="23" spans="2:57" ht="18" customHeight="1">
      <c r="C23" s="60" t="s">
        <v>5</v>
      </c>
      <c r="D23" s="60"/>
      <c r="E23" s="60" t="s">
        <v>6</v>
      </c>
      <c r="F23" s="60"/>
      <c r="G23" s="60" t="s">
        <v>7</v>
      </c>
      <c r="H23" s="60"/>
      <c r="I23" s="60" t="s">
        <v>8</v>
      </c>
      <c r="J23" s="60"/>
      <c r="K23" s="60" t="s">
        <v>9</v>
      </c>
      <c r="L23" s="60"/>
      <c r="M23" s="62" t="s">
        <v>10</v>
      </c>
      <c r="N23" s="62" t="s">
        <v>11</v>
      </c>
      <c r="O23" s="62"/>
      <c r="Q23" s="60" t="s">
        <v>5</v>
      </c>
      <c r="R23" s="60"/>
      <c r="S23" s="60" t="s">
        <v>6</v>
      </c>
      <c r="T23" s="60"/>
      <c r="U23" s="60" t="s">
        <v>7</v>
      </c>
      <c r="V23" s="60"/>
      <c r="W23" s="60" t="s">
        <v>8</v>
      </c>
      <c r="X23" s="60"/>
      <c r="Y23" s="60" t="s">
        <v>9</v>
      </c>
      <c r="Z23" s="60"/>
      <c r="AA23" s="62" t="s">
        <v>10</v>
      </c>
      <c r="AB23" s="62" t="s">
        <v>11</v>
      </c>
      <c r="AC23" s="62"/>
      <c r="AE23" s="60" t="s">
        <v>5</v>
      </c>
      <c r="AF23" s="60"/>
      <c r="AG23" s="60" t="s">
        <v>6</v>
      </c>
      <c r="AH23" s="60"/>
      <c r="AI23" s="60" t="s">
        <v>7</v>
      </c>
      <c r="AJ23" s="60"/>
      <c r="AK23" s="60" t="s">
        <v>8</v>
      </c>
      <c r="AL23" s="60"/>
      <c r="AM23" s="60" t="s">
        <v>9</v>
      </c>
      <c r="AN23" s="60"/>
      <c r="AO23" s="62" t="s">
        <v>10</v>
      </c>
      <c r="AP23" s="62" t="s">
        <v>11</v>
      </c>
      <c r="AQ23" s="62"/>
      <c r="AS23" s="60" t="s">
        <v>5</v>
      </c>
      <c r="AT23" s="60"/>
      <c r="AU23" s="60" t="s">
        <v>6</v>
      </c>
      <c r="AV23" s="60"/>
      <c r="AW23" s="60" t="s">
        <v>7</v>
      </c>
      <c r="AX23" s="60"/>
      <c r="AY23" s="60" t="s">
        <v>8</v>
      </c>
      <c r="AZ23" s="60"/>
      <c r="BA23" s="60" t="s">
        <v>9</v>
      </c>
      <c r="BB23" s="60"/>
      <c r="BC23" s="62" t="s">
        <v>10</v>
      </c>
      <c r="BD23" s="62" t="s">
        <v>11</v>
      </c>
      <c r="BE23" s="62"/>
    </row>
    <row r="24" spans="2:57" ht="18" customHeight="1">
      <c r="C24" s="16" t="str">
        <f>IF(AND(YEAR(ne2br)=Rok,MONTH(ne2br)=3),ne2br, "")</f>
        <v/>
      </c>
      <c r="D24" s="8"/>
      <c r="E24" s="16" t="str">
        <f>IF(AND(YEAR(ne2br+1)=Rok,MONTH(ne2br+1)=3),ne2br+1, "")</f>
        <v/>
      </c>
      <c r="F24" s="8"/>
      <c r="G24" s="16" t="str">
        <f>IF(AND(YEAR(ne2br+2)=Rok,MONTH(ne2br+2)=3),ne2br+2, "")</f>
        <v/>
      </c>
      <c r="H24" s="8"/>
      <c r="I24" s="16" t="str">
        <f>IF(AND(YEAR(ne2br+3)=Rok,MONTH(ne2br+3)=3),ne2br+3, "")</f>
        <v/>
      </c>
      <c r="J24" s="8"/>
      <c r="K24" s="16" t="str">
        <f>IF(AND(YEAR(Ne1Srp+8)=Rok,MONTH(Ne1Srp+8)=8),Ne1Srp+8, "")</f>
        <v/>
      </c>
      <c r="L24" s="8"/>
      <c r="M24" s="10">
        <f>IF(AND(YEAR(ne2br+5)=Rok,MONTH(ne2br+5)=3),ne2br+5, "")</f>
        <v>45717</v>
      </c>
      <c r="N24" s="11">
        <f>IF(AND(YEAR(ne2br+6)=Rok,MONTH(ne2br+6)=3),ne2br+6, "")</f>
        <v>45718</v>
      </c>
      <c r="O24" s="12">
        <v>9</v>
      </c>
      <c r="Q24" s="20"/>
      <c r="R24" s="21"/>
      <c r="S24" s="20"/>
      <c r="T24" s="21"/>
      <c r="U24" s="20"/>
      <c r="V24" s="21"/>
      <c r="W24" s="20"/>
      <c r="X24" s="21"/>
      <c r="Y24" s="20"/>
      <c r="Z24" s="21"/>
      <c r="AA24" s="34"/>
      <c r="AB24" s="11">
        <v>1</v>
      </c>
      <c r="AC24" s="12">
        <v>22</v>
      </c>
      <c r="AE24" s="67">
        <f>IF(AND(YEAR(ahoj)=Rok,MONTH(ahoj)=9),ahoj, "")</f>
        <v>45901</v>
      </c>
      <c r="AF24" s="67"/>
      <c r="AG24" s="9">
        <f>IF(AND(YEAR(ahoj+1)=Rok,MONTH(ahoj+1)=9),ahoj+1, "")</f>
        <v>45902</v>
      </c>
      <c r="AH24" s="9"/>
      <c r="AI24" s="9">
        <f>IF(AND(YEAR(ahoj+2)=Rok,MONTH(ahoj+2)=9),ahoj+2, "")</f>
        <v>45903</v>
      </c>
      <c r="AJ24" s="9"/>
      <c r="AK24" s="74">
        <f>IF(AND(YEAR(ahoj+3)=Rok,MONTH(ahoj+3)=9),ahoj+3, "")</f>
        <v>45904</v>
      </c>
      <c r="AL24" s="22"/>
      <c r="AM24" s="9">
        <f>IF(AND(YEAR(ahoj+4)=Rok,MONTH(ahoj+4)=9),ahoj+4, "")</f>
        <v>45905</v>
      </c>
      <c r="AN24" s="9"/>
      <c r="AO24" s="10">
        <f>IF(AND(YEAR(ahoj+5)=Rok,MONTH(ahoj+5)=9),ahoj+5, "")</f>
        <v>45906</v>
      </c>
      <c r="AP24" s="11">
        <f>IF(AND(YEAR(ahoj+6)=Rok,MONTH(ahoj+6)=9),ahoj+6, "")</f>
        <v>45907</v>
      </c>
      <c r="AQ24" s="23">
        <v>36</v>
      </c>
      <c r="AS24" s="72">
        <v>1</v>
      </c>
      <c r="AT24" s="73"/>
      <c r="AU24" s="44">
        <v>2</v>
      </c>
      <c r="AV24" s="45"/>
      <c r="AW24" s="20">
        <v>3</v>
      </c>
      <c r="AX24" s="21"/>
      <c r="AY24" s="20">
        <v>4</v>
      </c>
      <c r="AZ24" s="21"/>
      <c r="BA24" s="16">
        <v>5</v>
      </c>
      <c r="BB24" s="8"/>
      <c r="BC24" s="10">
        <v>6</v>
      </c>
      <c r="BD24" s="11">
        <v>7</v>
      </c>
      <c r="BE24" s="23">
        <v>49</v>
      </c>
    </row>
    <row r="25" spans="2:57" ht="18" customHeight="1">
      <c r="C25" s="67">
        <f>IF(AND(YEAR(ne2br+7)=Rok,MONTH(ne2br+7)=3),ne2br+7, "")</f>
        <v>45719</v>
      </c>
      <c r="D25" s="67"/>
      <c r="E25" s="26">
        <f>IF(AND(YEAR(ne2br+8)=Rok,MONTH(ne2br+8)=3),ne2br+8, "")</f>
        <v>45720</v>
      </c>
      <c r="F25" s="26"/>
      <c r="G25" s="9">
        <f>IF(AND(YEAR(ne2br+9)=Rok,MONTH(ne2br+9)=3),ne2br+9, "")</f>
        <v>45721</v>
      </c>
      <c r="H25" s="9"/>
      <c r="I25" s="9">
        <f>IF(AND(YEAR(ne2br+10)=Rok,MONTH(ne2br+10)=3),ne2br+10, "")</f>
        <v>45722</v>
      </c>
      <c r="J25" s="9"/>
      <c r="K25" s="9">
        <f>IF(AND(YEAR(ne2br+11)=Rok,MONTH(ne2br+11)=3),ne2br+11, "")</f>
        <v>45723</v>
      </c>
      <c r="L25" s="9"/>
      <c r="M25" s="10">
        <f>IF(AND(YEAR(ne2br+12)=Rok,MONTH(ne2br+12)=3),ne2br+12, "")</f>
        <v>45724</v>
      </c>
      <c r="N25" s="11">
        <f>IF(AND(YEAR(ne2br+13)=Rok,MONTH(ne2br+13)=3),ne2br+13, "")</f>
        <v>45725</v>
      </c>
      <c r="O25" s="12">
        <v>10</v>
      </c>
      <c r="Q25" s="72">
        <f>IF(AND(YEAR(aaaaa)=Rok,MONTH(aaaaa)=6),aaaaa, "")</f>
        <v>45810</v>
      </c>
      <c r="R25" s="73"/>
      <c r="S25" s="20">
        <f>IF(AND(YEAR(aaaaa+1)=Rok,MONTH(aaaaa+1)=6),aaaaa+1, "")</f>
        <v>45811</v>
      </c>
      <c r="T25" s="21"/>
      <c r="U25" s="20">
        <f>IF(AND(YEAR(aaaaa+2)=Rok,MONTH(aaaaa+2)=6),aaaaa+2, "")</f>
        <v>45812</v>
      </c>
      <c r="V25" s="21"/>
      <c r="W25" s="20">
        <f>IF(AND(YEAR(aaaaa+3)=Rok,MONTH(aaaaa+3)=6),aaaaa+3, "")</f>
        <v>45813</v>
      </c>
      <c r="X25" s="21"/>
      <c r="Y25" s="20">
        <f>IF(AND(YEAR(aaaaa+4)=Rok,MONTH(aaaaa+4)=6),aaaaa+4, "")</f>
        <v>45814</v>
      </c>
      <c r="Z25" s="21"/>
      <c r="AA25" s="10">
        <f>IF(AND(YEAR(aaaaa+5)=Rok,MONTH(aaaaa+5)=6),aaaaa+5, "")</f>
        <v>45815</v>
      </c>
      <c r="AB25" s="11">
        <f>IF(AND(YEAR(aaaaa+6)=Rok,MONTH(aaaaa+6)=6),aaaaa+6, "")</f>
        <v>45816</v>
      </c>
      <c r="AC25" s="12">
        <v>23</v>
      </c>
      <c r="AE25" s="67">
        <f>IF(AND(YEAR(ahoj+7)=Rok,MONTH(ahoj+7)=9),ahoj+7, "")</f>
        <v>45908</v>
      </c>
      <c r="AF25" s="67"/>
      <c r="AG25" s="26">
        <f>IF(AND(YEAR(ahoj+8)=Rok,MONTH(ahoj+8)=9),ahoj+8, "")</f>
        <v>45909</v>
      </c>
      <c r="AH25" s="26"/>
      <c r="AI25" s="9">
        <f>IF(AND(YEAR(ahoj+9)=Rok,MONTH(ahoj+9)=9),ahoj+9, "")</f>
        <v>45910</v>
      </c>
      <c r="AJ25" s="9"/>
      <c r="AK25" s="9">
        <f>IF(AND(YEAR(ahoj+10)=Rok,MONTH(ahoj+10)=9),ahoj+10, "")</f>
        <v>45911</v>
      </c>
      <c r="AL25" s="9"/>
      <c r="AM25" s="9">
        <f>IF(AND(YEAR(ahoj+11)=Rok,MONTH(ahoj+11)=9),ahoj+11, "")</f>
        <v>45912</v>
      </c>
      <c r="AN25" s="9"/>
      <c r="AO25" s="10">
        <f>IF(AND(YEAR(ahoj+12)=Rok,MONTH(ahoj+12)=9),ahoj+12, "")</f>
        <v>45913</v>
      </c>
      <c r="AP25" s="11">
        <f>IF(AND(YEAR(ahoj+13)=Rok,MONTH(ahoj+13)=9),ahoj+13, "")</f>
        <v>45914</v>
      </c>
      <c r="AQ25" s="23">
        <v>37</v>
      </c>
      <c r="AS25" s="72">
        <v>8</v>
      </c>
      <c r="AT25" s="73"/>
      <c r="AU25" s="20">
        <v>9</v>
      </c>
      <c r="AV25" s="21"/>
      <c r="AW25" s="20">
        <v>10</v>
      </c>
      <c r="AX25" s="21"/>
      <c r="AY25" s="20">
        <v>11</v>
      </c>
      <c r="AZ25" s="21"/>
      <c r="BA25" s="20">
        <v>12</v>
      </c>
      <c r="BB25" s="21"/>
      <c r="BC25" s="10">
        <v>13</v>
      </c>
      <c r="BD25" s="11">
        <v>14</v>
      </c>
      <c r="BE25" s="23">
        <v>50</v>
      </c>
    </row>
    <row r="26" spans="2:57" ht="18" customHeight="1" thickBot="1">
      <c r="C26" s="67">
        <f>IF(AND(YEAR(ne2br+14)=Rok,MONTH(ne2br+14)=3),ne2br+14, "")</f>
        <v>45726</v>
      </c>
      <c r="D26" s="67"/>
      <c r="E26" s="9">
        <f>IF(AND(YEAR(ne2br+15)=Rok,MONTH(ne2br+15)=3),ne2br+15, "")</f>
        <v>45727</v>
      </c>
      <c r="F26" s="9"/>
      <c r="G26" s="9">
        <f>IF(AND(YEAR(ne2br+16)=Rok,MONTH(ne2br+16)=3),ne2br+16, "")</f>
        <v>45728</v>
      </c>
      <c r="H26" s="9"/>
      <c r="I26" s="9">
        <f>IF(AND(YEAR(ne2br+17)=Rok,MONTH(ne2br+17)=3),ne2br+17, "")</f>
        <v>45729</v>
      </c>
      <c r="J26" s="9"/>
      <c r="K26" s="9">
        <f>IF(AND(YEAR(ne2br+18)=Rok,MONTH(ne2br+18)=3),ne2br+18, "")</f>
        <v>45730</v>
      </c>
      <c r="L26" s="9"/>
      <c r="M26" s="10">
        <f>IF(AND(YEAR(ne2br+19)=Rok,MONTH(ne2br+19)=3),ne2br+19, "")</f>
        <v>45731</v>
      </c>
      <c r="N26" s="11">
        <f>IF(AND(YEAR(ne2br+20)=Rok,MONTH(ne2br+20)=3),ne2br+20, "")</f>
        <v>45732</v>
      </c>
      <c r="O26" s="12">
        <v>11</v>
      </c>
      <c r="Q26" s="67">
        <f>IF(AND(YEAR(aaaaa+7)=Rok,MONTH(aaaaa+7)=6),aaaaa+7, "")</f>
        <v>45817</v>
      </c>
      <c r="R26" s="67"/>
      <c r="S26" s="9">
        <f>IF(AND(YEAR(aaaaa+8)=Rok,MONTH(aaaaa+8)=6),aaaaa+8, "")</f>
        <v>45818</v>
      </c>
      <c r="T26" s="9"/>
      <c r="U26" s="9">
        <f>IF(AND(YEAR(aaaaa+9)=Rok,MONTH(aaaaa+9)=6),aaaaa+9, "")</f>
        <v>45819</v>
      </c>
      <c r="V26" s="9"/>
      <c r="W26" s="22">
        <f>IF(AND(YEAR(aaaaa+10)=Rok,MONTH(aaaaa+10)=6),aaaaa+10, "")</f>
        <v>45820</v>
      </c>
      <c r="X26" s="22"/>
      <c r="Y26" s="9">
        <f>IF(AND(YEAR(aaaaa+11)=Rok,MONTH(aaaaa+11)=6),aaaaa+11, "")</f>
        <v>45821</v>
      </c>
      <c r="Z26" s="9"/>
      <c r="AA26" s="10">
        <f>IF(AND(YEAR(aaaaa+12)=Rok,MONTH(aaaaa+12)=6),aaaaa+12, "")</f>
        <v>45822</v>
      </c>
      <c r="AB26" s="11">
        <f>IF(AND(YEAR(aaaaa+13)=Rok,MONTH(aaaaa+13)=6),aaaaa+13, "")</f>
        <v>45823</v>
      </c>
      <c r="AC26" s="12">
        <v>24</v>
      </c>
      <c r="AE26" s="67">
        <f>IF(AND(YEAR(ahoj+14)=Rok,MONTH(ahoj+14)=9),ahoj+14, "")</f>
        <v>45915</v>
      </c>
      <c r="AF26" s="67"/>
      <c r="AG26" s="9">
        <f>IF(AND(YEAR(ahoj+15)=Rok,MONTH(ahoj+15)=9),ahoj+15, "")</f>
        <v>45916</v>
      </c>
      <c r="AH26" s="9"/>
      <c r="AI26" s="9">
        <f>IF(AND(YEAR(ahoj+16)=Rok,MONTH(ahoj+16)=9),ahoj+16, "")</f>
        <v>45917</v>
      </c>
      <c r="AJ26" s="9"/>
      <c r="AK26" s="74">
        <f>IF(AND(YEAR(ahoj+17)=Rok,MONTH(ahoj+17)=9),ahoj+17, "")</f>
        <v>45918</v>
      </c>
      <c r="AL26" s="74"/>
      <c r="AM26" s="9">
        <f>IF(AND(YEAR(ahoj+18)=Rok,MONTH(ahoj+18)=9),ahoj+18, "")</f>
        <v>45919</v>
      </c>
      <c r="AN26" s="9"/>
      <c r="AO26" s="10">
        <f>IF(AND(YEAR(ahoj+19)=Rok,MONTH(ahoj+19)=9),ahoj+19, "")</f>
        <v>45920</v>
      </c>
      <c r="AP26" s="46">
        <f>IF(AND(YEAR(ahoj+20)=Rok,MONTH(ahoj+20)=9),ahoj+20, "")</f>
        <v>45921</v>
      </c>
      <c r="AQ26" s="23">
        <v>38</v>
      </c>
      <c r="AS26" s="72">
        <v>15</v>
      </c>
      <c r="AT26" s="73"/>
      <c r="AU26" s="20">
        <v>16</v>
      </c>
      <c r="AV26" s="21"/>
      <c r="AW26" s="47">
        <v>17</v>
      </c>
      <c r="AX26" s="48"/>
      <c r="AY26" s="47">
        <v>18</v>
      </c>
      <c r="AZ26" s="48"/>
      <c r="BA26" s="47">
        <v>19</v>
      </c>
      <c r="BB26" s="48"/>
      <c r="BC26" s="10">
        <v>20</v>
      </c>
      <c r="BD26" s="11">
        <v>21</v>
      </c>
      <c r="BE26" s="23">
        <v>51</v>
      </c>
    </row>
    <row r="27" spans="2:57" ht="18" customHeight="1" thickTop="1" thickBot="1">
      <c r="C27" s="67">
        <f>IF(AND(YEAR(ne2br+21)=Rok,MONTH(ne2br+21)=3),ne2br+21, "")</f>
        <v>45733</v>
      </c>
      <c r="D27" s="67"/>
      <c r="E27" s="9">
        <f>IF(AND(YEAR(ne2br+22)=Rok,MONTH(ne2br+22)=3),ne2br+22, "")</f>
        <v>45734</v>
      </c>
      <c r="F27" s="9"/>
      <c r="G27" s="9">
        <f>IF(AND(YEAR(ne2br+23)=Rok,MONTH(ne2br+23)=3),ne2br+23, "")</f>
        <v>45735</v>
      </c>
      <c r="H27" s="9"/>
      <c r="I27" s="22">
        <f>IF(AND(YEAR(ne2br+24)=Rok,MONTH(ne2br+24)=3),ne2br+24, "")</f>
        <v>45736</v>
      </c>
      <c r="J27" s="22"/>
      <c r="K27" s="9">
        <f>IF(AND(YEAR(ne2br+25)=Rok,MONTH(ne2br+25)=3),ne2br+25, "")</f>
        <v>45737</v>
      </c>
      <c r="L27" s="9"/>
      <c r="M27" s="10">
        <f>IF(AND(YEAR(ne2br+26)=Rok,MONTH(ne2br+26)=3),ne2br+26, "")</f>
        <v>45738</v>
      </c>
      <c r="N27" s="11">
        <f>IF(AND(YEAR(ne2br+27)=Rok,MONTH(ne2br+27)=3),ne2br+27, "")</f>
        <v>45739</v>
      </c>
      <c r="O27" s="12">
        <v>12</v>
      </c>
      <c r="Q27" s="67">
        <f>IF(AND(YEAR(aaaaa+14)=Rok,MONTH(aaaaa+14)=6),aaaaa+14, "")</f>
        <v>45824</v>
      </c>
      <c r="R27" s="67"/>
      <c r="S27" s="26">
        <f>IF(AND(YEAR(aaaaa+15)=Rok,MONTH(aaaaa+15)=6),aaaaa+15, "")</f>
        <v>45825</v>
      </c>
      <c r="T27" s="26"/>
      <c r="U27" s="9">
        <f>IF(AND(YEAR(aaaaa+16)=Rok,MONTH(aaaaa+16)=6),aaaaa+16, "")</f>
        <v>45826</v>
      </c>
      <c r="V27" s="9"/>
      <c r="W27" s="9">
        <f>IF(AND(YEAR(aaaaa+17)=Rok,MONTH(aaaaa+17)=6),aaaaa+17, "")</f>
        <v>45827</v>
      </c>
      <c r="X27" s="9"/>
      <c r="Y27" s="9">
        <f>IF(AND(YEAR(aaaaa+18)=Rok,MONTH(aaaaa+18)=6),aaaaa+18, "")</f>
        <v>45828</v>
      </c>
      <c r="Z27" s="9"/>
      <c r="AA27" s="10">
        <f>IF(AND(YEAR(aaaaa+19)=Rok,MONTH(aaaaa+19)=6),aaaaa+19, "")</f>
        <v>45829</v>
      </c>
      <c r="AB27" s="11">
        <f>IF(AND(YEAR(aaaaa+20)=Rok,MONTH(aaaaa+20)=6),aaaaa+20, "")</f>
        <v>45830</v>
      </c>
      <c r="AC27" s="12">
        <v>25</v>
      </c>
      <c r="AE27" s="67">
        <f>IF(AND(YEAR(ahoj+21)=Rok,MONTH(ahoj+21)=9),ahoj+21, "")</f>
        <v>45922</v>
      </c>
      <c r="AF27" s="67"/>
      <c r="AG27" s="9">
        <f>IF(AND(YEAR(ahoj+22)=Rok,MONTH(ahoj+22)=9),ahoj+22, "")</f>
        <v>45923</v>
      </c>
      <c r="AH27" s="9"/>
      <c r="AI27" s="9">
        <f>IF(AND(YEAR(ahoj+23)=Rok,MONTH(ahoj+23)=9),ahoj+23, "")</f>
        <v>45924</v>
      </c>
      <c r="AJ27" s="9"/>
      <c r="AK27" s="9">
        <f>IF(AND(YEAR(ahoj+24)=Rok,MONTH(ahoj+24)=9),ahoj+24, "")</f>
        <v>45925</v>
      </c>
      <c r="AL27" s="9"/>
      <c r="AM27" s="9">
        <f>IF(AND(YEAR(ahoj+25)=Rok,MONTH(ahoj+25)=9),ahoj+25, "")</f>
        <v>45926</v>
      </c>
      <c r="AN27" s="9"/>
      <c r="AO27" s="49">
        <f>IF(AND(YEAR(ahoj+26)=Rok,MONTH(ahoj+26)=9),ahoj+26, "")</f>
        <v>45927</v>
      </c>
      <c r="AP27" s="18">
        <f>IF(AND(YEAR(ahoj+27)=Rok,MONTH(ahoj+27)=9),ahoj+27, "")</f>
        <v>45928</v>
      </c>
      <c r="AQ27" s="50">
        <v>39</v>
      </c>
      <c r="AS27" s="72">
        <v>22</v>
      </c>
      <c r="AT27" s="73"/>
      <c r="AU27" s="44">
        <v>23</v>
      </c>
      <c r="AV27" s="51"/>
      <c r="AW27" s="52">
        <v>24</v>
      </c>
      <c r="AX27" s="52"/>
      <c r="AY27" s="75">
        <v>25</v>
      </c>
      <c r="AZ27" s="53"/>
      <c r="BA27" s="52">
        <v>26</v>
      </c>
      <c r="BB27" s="52"/>
      <c r="BC27" s="31">
        <v>27</v>
      </c>
      <c r="BD27" s="11">
        <v>28</v>
      </c>
      <c r="BE27" s="23">
        <v>52</v>
      </c>
    </row>
    <row r="28" spans="2:57" ht="18" customHeight="1" thickTop="1">
      <c r="C28" s="67">
        <f>IF(AND(YEAR(ne2br+28)=Rok,MONTH(ne2br+28)=3),ne2br+28, "")</f>
        <v>45740</v>
      </c>
      <c r="D28" s="67"/>
      <c r="E28" s="26">
        <f>IF(AND(YEAR(ne2br+29)=Rok,MONTH(ne2br+29)=3),ne2br+29, "")</f>
        <v>45741</v>
      </c>
      <c r="F28" s="26"/>
      <c r="G28" s="9">
        <f>IF(AND(YEAR(ne2br+30)=Rok,MONTH(ne2br+30)=3),ne2br+30, "")</f>
        <v>45742</v>
      </c>
      <c r="H28" s="9"/>
      <c r="I28" s="9">
        <f>IF(AND(YEAR(ne2br+31)=Rok,MONTH(ne2br+31)=3),ne2br+31, "")</f>
        <v>45743</v>
      </c>
      <c r="J28" s="9"/>
      <c r="K28" s="9">
        <f>IF(AND(YEAR(ne2br+32)=Rok,MONTH(ne2br+32)=3),ne2br+32, "")</f>
        <v>45744</v>
      </c>
      <c r="L28" s="9"/>
      <c r="M28" s="10">
        <f>IF(AND(YEAR(ne2br+33)=Rok,MONTH(ne2br+33)=3),ne2br+33, "")</f>
        <v>45745</v>
      </c>
      <c r="N28" s="11">
        <f>IF(AND(YEAR(ne2br+34)=Rok,MONTH(ne2br+34)=3),ne2br+34, "")</f>
        <v>45746</v>
      </c>
      <c r="O28" s="12">
        <v>13</v>
      </c>
      <c r="Q28" s="67">
        <f>IF(AND(YEAR(aaaaa+21)=Rok,MONTH(aaaaa+21)=6),aaaaa+21, "")</f>
        <v>45831</v>
      </c>
      <c r="R28" s="67"/>
      <c r="S28" s="9">
        <f>IF(AND(YEAR(aaaaa+22)=Rok,MONTH(aaaaa+22)=6),aaaaa+22, "")</f>
        <v>45832</v>
      </c>
      <c r="T28" s="9"/>
      <c r="U28" s="9">
        <f>IF(AND(YEAR(aaaaa+23)=Rok,MONTH(aaaaa+23)=6),aaaaa+23, "")</f>
        <v>45833</v>
      </c>
      <c r="V28" s="9"/>
      <c r="W28" s="9">
        <f>IF(AND(YEAR(aaaaa+24)=Rok,MONTH(aaaaa+24)=6),aaaaa+24, "")</f>
        <v>45834</v>
      </c>
      <c r="X28" s="9"/>
      <c r="Y28" s="9">
        <f>IF(AND(YEAR(aaaaa+25)=Rok,MONTH(aaaaa+25)=6),aaaaa+25, "")</f>
        <v>45835</v>
      </c>
      <c r="Z28" s="9"/>
      <c r="AA28" s="10">
        <f>IF(AND(YEAR(aaaaa+26)=Rok,MONTH(aaaaa+26)=6),aaaaa+26, "")</f>
        <v>45836</v>
      </c>
      <c r="AB28" s="11">
        <f>IF(AND(YEAR(aaaaa+27)=Rok,MONTH(aaaaa+27)=6),aaaaa+27, "")</f>
        <v>45837</v>
      </c>
      <c r="AC28" s="12">
        <v>26</v>
      </c>
      <c r="AE28" s="67">
        <f>IF(AND(YEAR(ahoj+28)=Rok,MONTH(ahoj+28)=9),ahoj+28, "")</f>
        <v>45929</v>
      </c>
      <c r="AF28" s="67"/>
      <c r="AG28" s="44">
        <f>IF(AND(YEAR(ahoj+29)=Rok,MONTH(ahoj+29)=9),ahoj+29, "")</f>
        <v>45930</v>
      </c>
      <c r="AH28" s="45"/>
      <c r="AI28" s="16" t="str">
        <f>IF(AND(YEAR(ahoj+30)=Rok,MONTH(ahoj+30)=9),ahoj+30, "")</f>
        <v/>
      </c>
      <c r="AJ28" s="8"/>
      <c r="AK28" s="16" t="str">
        <f>IF(AND(YEAR(ahoj+31)=Rok,MONTH(ahoj+31)=9),ahoj+31, "")</f>
        <v/>
      </c>
      <c r="AL28" s="8"/>
      <c r="AM28" s="16" t="str">
        <f>IF(AND(YEAR(ahoj+32)=Rok,MONTH(ahoj+32)=9),ahoj+32, "")</f>
        <v/>
      </c>
      <c r="AN28" s="8"/>
      <c r="AO28" s="34" t="str">
        <f>IF(AND(YEAR(ahoj+33)=Rok,MONTH(ahoj+33)=9),ahoj+33, "")</f>
        <v/>
      </c>
      <c r="AP28" s="54" t="str">
        <f>IF(AND(YEAR(ahoj+34)=Rok,MONTH(ahoj+34)=9),ahoj+34, "")</f>
        <v/>
      </c>
      <c r="AQ28" s="23">
        <v>40</v>
      </c>
      <c r="AS28" s="72">
        <v>29</v>
      </c>
      <c r="AT28" s="73"/>
      <c r="AU28" s="20">
        <v>30</v>
      </c>
      <c r="AV28" s="21"/>
      <c r="AW28" s="55">
        <v>31</v>
      </c>
      <c r="AX28" s="56"/>
      <c r="AY28" s="55" t="str">
        <f>IF(AND(YEAR(Ne1Lis+35)=Rok,MONTH(Ne1Lis+35)=11),Ne1Lis+35, "")</f>
        <v/>
      </c>
      <c r="AZ28" s="56"/>
      <c r="BA28" s="55" t="str">
        <f>IF(AND(YEAR(Ne1Lis+35)=Rok,MONTH(Ne1Lis+35)=11),Ne1Lis+35, "")</f>
        <v/>
      </c>
      <c r="BB28" s="56"/>
      <c r="BC28" s="34" t="str">
        <f>IF(AND(YEAR(ZZ+26)=Rok,MONTH(ZZ+26)=12),ZZ+26, "")</f>
        <v/>
      </c>
      <c r="BD28" s="34" t="str">
        <f>IF(AND(YEAR(ZZ+27)=Rok,MONTH(ZZ+27)=12),ZZ+27, "")</f>
        <v/>
      </c>
      <c r="BE28" s="23">
        <v>1</v>
      </c>
    </row>
    <row r="29" spans="2:57" ht="18" customHeight="1">
      <c r="C29" s="67">
        <v>31</v>
      </c>
      <c r="D29" s="67"/>
      <c r="E29" s="3" t="str">
        <f>IF(AND(YEAR(ne2br+36)=Rok,MONTH(ne2br+36)=3),ne2br+36, "")</f>
        <v/>
      </c>
      <c r="F29" s="4"/>
      <c r="G29" s="3" t="str">
        <f>IF(AND(YEAR(ne2br+37)=Rok,MONTH(ne2br+37)=3),ne2br+37, "")</f>
        <v/>
      </c>
      <c r="H29" s="4"/>
      <c r="I29" s="3" t="str">
        <f>IF(AND(YEAR(ne2br+38)=Rok,MONTH(ne2br+38)=3),ne2br+38, "")</f>
        <v/>
      </c>
      <c r="J29" s="4"/>
      <c r="K29" s="3" t="str">
        <f>IF(AND(YEAR(ne2br+39)=Rok,MONTH(ne2br+39)=3),ne2br+39, "")</f>
        <v/>
      </c>
      <c r="L29" s="4"/>
      <c r="M29" s="33" t="str">
        <f>IF(AND(YEAR(ne2br+40)=Rok,MONTH(ne2br+40)=3),ne2br+40, "")</f>
        <v/>
      </c>
      <c r="N29" s="33" t="str">
        <f>IF(AND(YEAR(ne2br+41)=Rok,MONTH(ne2br+41)=3),ne2br+41, "")</f>
        <v/>
      </c>
      <c r="O29" s="15">
        <v>14</v>
      </c>
      <c r="Q29" s="67">
        <f>IF(AND(YEAR(aaaaa+28)=Rok,MONTH(aaaaa+28)=6),aaaaa+28, "")</f>
        <v>45838</v>
      </c>
      <c r="R29" s="67"/>
      <c r="S29" s="20" t="str">
        <f>IF(AND(YEAR(Ne1Říj+35)=Rok,MONTH(Ne1Říj+35)=10),Ne1Říj+35, "")</f>
        <v/>
      </c>
      <c r="T29" s="21"/>
      <c r="U29" s="20" t="str">
        <f>IF(AND(YEAR(Ne1Říj+35)=Rok,MONTH(Ne1Říj+35)=10),Ne1Říj+35, "")</f>
        <v/>
      </c>
      <c r="V29" s="21"/>
      <c r="W29" s="20" t="str">
        <f>IF(AND(YEAR(Ne1Říj+35)=Rok,MONTH(Ne1Říj+35)=10),Ne1Říj+35, "")</f>
        <v/>
      </c>
      <c r="X29" s="21"/>
      <c r="Y29" s="20" t="str">
        <f>IF(AND(YEAR(Ne1Říj+35)=Rok,MONTH(Ne1Říj+35)=10),Ne1Říj+35, "")</f>
        <v/>
      </c>
      <c r="Z29" s="21"/>
      <c r="AA29" s="34" t="str">
        <f>IF(AND(YEAR(aaaaa+33)=Rok,MONTH(aaaaa+33)=6),aaaaa+33, "")</f>
        <v/>
      </c>
      <c r="AB29" s="34" t="str">
        <f>IF(AND(YEAR(aaaaa+34)=Rok,MONTH(aaaaa+34)=6),aaaaa+34, "")</f>
        <v/>
      </c>
      <c r="AC29" s="12">
        <v>27</v>
      </c>
      <c r="AE29" s="16"/>
      <c r="AF29" s="8"/>
      <c r="AG29" s="16"/>
      <c r="AH29" s="8"/>
      <c r="AI29" s="16" t="str">
        <f>IF(AND(YEAR(ahoj+30)=Rok,MONTH(ahoj+30)=9),ahoj+30, "")</f>
        <v/>
      </c>
      <c r="AJ29" s="8"/>
      <c r="AK29" s="16" t="str">
        <f>IF(AND(YEAR(ahoj+31)=Rok,MONTH(ahoj+31)=9),ahoj+31, "")</f>
        <v/>
      </c>
      <c r="AL29" s="8"/>
      <c r="AM29" s="16" t="str">
        <f>IF(AND(YEAR(ahoj+32)=Rok,MONTH(ahoj+32)=9),ahoj+32, "")</f>
        <v/>
      </c>
      <c r="AN29" s="8"/>
      <c r="AO29" s="34" t="str">
        <f>IF(AND(YEAR(ahoj+33)=Rok,MONTH(ahoj+33)=9),ahoj+33, "")</f>
        <v/>
      </c>
      <c r="AP29" s="33" t="str">
        <f>IF(AND(YEAR(ahoj+34)=Rok,MONTH(ahoj+34)=9),ahoj+34, "")</f>
        <v/>
      </c>
      <c r="AQ29" s="39"/>
      <c r="AS29" s="20" t="str">
        <f>IF(AND(YEAR(Ne1Lis+35)=Rok,MONTH(Ne1Lis+35)=11),Ne1Lis+35, "")</f>
        <v/>
      </c>
      <c r="AT29" s="21"/>
      <c r="AU29" s="20" t="str">
        <f>IF(AND(YEAR(Ne1Lis+35)=Rok,MONTH(Ne1Lis+35)=11),Ne1Lis+35, "")</f>
        <v/>
      </c>
      <c r="AV29" s="21"/>
      <c r="AW29" s="16" t="str">
        <f>IF(AND(YEAR(ZZ+30)=Rok,MONTH(ZZ+30)=12),ZZ+30, "")</f>
        <v/>
      </c>
      <c r="AX29" s="8"/>
      <c r="AY29" s="16" t="str">
        <f>IF(AND(YEAR(ZZ+31)=Rok,MONTH(ZZ+31)=12),ZZ+31, "")</f>
        <v/>
      </c>
      <c r="AZ29" s="8"/>
      <c r="BA29" s="16" t="str">
        <f>IF(AND(YEAR(ZZ+32)=Rok,MONTH(ZZ+32)=12),ZZ+32, "")</f>
        <v/>
      </c>
      <c r="BB29" s="8"/>
      <c r="BC29" s="34" t="str">
        <f>IF(AND(YEAR(ZZ+33)=Rok,MONTH(ZZ+33)=12),ZZ+33, "")</f>
        <v/>
      </c>
      <c r="BD29" s="34" t="str">
        <f>IF(AND(YEAR(ZZ+34)=Rok,MONTH(ZZ+34)=12),ZZ+34, "")</f>
        <v/>
      </c>
      <c r="BE29" s="39"/>
    </row>
    <row r="30" spans="2:57">
      <c r="B30" s="76"/>
      <c r="C30" s="77" t="s">
        <v>20</v>
      </c>
      <c r="D30" s="91"/>
      <c r="E30" s="89" t="s">
        <v>26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91" t="s">
        <v>20</v>
      </c>
      <c r="AF30" s="91"/>
      <c r="AG30" s="89" t="s">
        <v>26</v>
      </c>
      <c r="AH30" s="89"/>
      <c r="AI30" s="89"/>
      <c r="AJ30" s="89"/>
      <c r="AK30" s="89"/>
      <c r="AL30" s="89"/>
      <c r="AM30" s="89"/>
      <c r="AN30" s="89"/>
      <c r="AO30" s="89"/>
      <c r="AP30" s="89"/>
      <c r="AQ30" s="88"/>
    </row>
    <row r="31" spans="2:57" ht="14.25" customHeight="1">
      <c r="B31" s="76"/>
      <c r="C31" s="77" t="s">
        <v>20</v>
      </c>
      <c r="D31" s="91"/>
      <c r="E31" s="89" t="s">
        <v>21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8"/>
      <c r="Q31" s="88"/>
      <c r="R31" s="88"/>
      <c r="S31" s="88"/>
      <c r="T31" s="88"/>
      <c r="U31" s="88"/>
      <c r="V31" s="88"/>
      <c r="W31" s="88"/>
      <c r="X31" s="88"/>
      <c r="Y31" s="92"/>
      <c r="Z31" s="92"/>
      <c r="AA31" s="88"/>
      <c r="AB31" s="88"/>
      <c r="AC31" s="88"/>
      <c r="AD31" s="88"/>
      <c r="AE31" s="91" t="s">
        <v>20</v>
      </c>
      <c r="AF31" s="91"/>
      <c r="AG31" s="89" t="s">
        <v>21</v>
      </c>
      <c r="AH31" s="89"/>
      <c r="AI31" s="89"/>
      <c r="AJ31" s="89"/>
      <c r="AK31" s="89"/>
      <c r="AL31" s="89"/>
      <c r="AM31" s="89"/>
      <c r="AN31" s="89"/>
      <c r="AO31" s="88"/>
      <c r="AP31" s="88"/>
      <c r="AQ31" s="88"/>
    </row>
    <row r="32" spans="2:57" ht="14.25" customHeight="1">
      <c r="B32" s="76"/>
      <c r="C32" s="78" t="s">
        <v>20</v>
      </c>
      <c r="D32" s="93"/>
      <c r="E32" s="89" t="s">
        <v>27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93" t="s">
        <v>20</v>
      </c>
      <c r="AF32" s="93"/>
      <c r="AG32" s="89" t="s">
        <v>27</v>
      </c>
      <c r="AH32" s="89"/>
      <c r="AI32" s="89"/>
      <c r="AJ32" s="89"/>
      <c r="AK32" s="89"/>
      <c r="AL32" s="89"/>
      <c r="AM32" s="89"/>
      <c r="AN32" s="89"/>
      <c r="AO32" s="89"/>
      <c r="AP32" s="89"/>
      <c r="AQ32" s="88"/>
    </row>
    <row r="33" spans="1:43" ht="14.25" customHeight="1">
      <c r="B33" s="76"/>
      <c r="C33" s="78" t="s">
        <v>20</v>
      </c>
      <c r="D33" s="93"/>
      <c r="E33" s="89" t="s">
        <v>22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93" t="s">
        <v>20</v>
      </c>
      <c r="AF33" s="93"/>
      <c r="AG33" s="89" t="s">
        <v>22</v>
      </c>
      <c r="AH33" s="89"/>
      <c r="AI33" s="89"/>
      <c r="AJ33" s="89"/>
      <c r="AK33" s="89"/>
      <c r="AL33" s="89"/>
      <c r="AM33" s="89"/>
      <c r="AN33" s="89"/>
      <c r="AO33" s="88"/>
      <c r="AP33" s="88"/>
      <c r="AQ33" s="88"/>
    </row>
    <row r="34" spans="1:43" ht="14.25" customHeight="1" thickBot="1">
      <c r="B34" s="76"/>
      <c r="C34" s="79" t="s">
        <v>20</v>
      </c>
      <c r="D34" s="94"/>
      <c r="E34" s="89" t="s">
        <v>23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8"/>
      <c r="Q34" s="88"/>
      <c r="R34" s="88"/>
      <c r="S34" s="88"/>
      <c r="T34" s="88"/>
      <c r="U34" s="95"/>
      <c r="V34" s="95"/>
      <c r="W34" s="88"/>
      <c r="X34" s="88"/>
      <c r="Y34" s="88"/>
      <c r="Z34" s="88"/>
      <c r="AA34" s="88"/>
      <c r="AB34" s="88"/>
      <c r="AC34" s="88"/>
      <c r="AD34" s="88"/>
      <c r="AE34" s="94" t="s">
        <v>20</v>
      </c>
      <c r="AF34" s="94"/>
      <c r="AG34" s="89" t="s">
        <v>23</v>
      </c>
      <c r="AH34" s="89"/>
      <c r="AI34" s="89"/>
      <c r="AJ34" s="89"/>
      <c r="AK34" s="89"/>
      <c r="AL34" s="89"/>
      <c r="AM34" s="89"/>
      <c r="AN34" s="89"/>
      <c r="AO34" s="88"/>
      <c r="AP34" s="88"/>
      <c r="AQ34" s="88"/>
    </row>
    <row r="35" spans="1:43" ht="14.25" customHeight="1" thickTop="1" thickBot="1">
      <c r="A35" s="88"/>
      <c r="B35" s="89"/>
      <c r="C35" s="80" t="s">
        <v>20</v>
      </c>
      <c r="D35" s="81"/>
      <c r="E35" s="89" t="s">
        <v>24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8"/>
      <c r="Q35" s="88"/>
      <c r="R35" s="88"/>
      <c r="S35" s="90"/>
      <c r="T35" s="90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0" t="s">
        <v>20</v>
      </c>
      <c r="AF35" s="81"/>
      <c r="AG35" s="89" t="s">
        <v>24</v>
      </c>
      <c r="AH35" s="89"/>
      <c r="AI35" s="89"/>
      <c r="AJ35" s="88"/>
      <c r="AK35" s="88"/>
      <c r="AL35" s="88"/>
      <c r="AM35" s="88"/>
      <c r="AN35" s="88"/>
      <c r="AO35" s="88"/>
      <c r="AP35" s="88"/>
      <c r="AQ35" s="88"/>
    </row>
    <row r="36" spans="1:43" ht="14.25" customHeight="1" thickTop="1">
      <c r="B36" s="76"/>
      <c r="C36" s="82" t="s">
        <v>20</v>
      </c>
      <c r="D36" s="96"/>
      <c r="E36" s="89" t="s">
        <v>25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8"/>
      <c r="Q36" s="88"/>
      <c r="R36" s="88"/>
      <c r="S36" s="90"/>
      <c r="T36" s="90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96" t="s">
        <v>20</v>
      </c>
      <c r="AF36" s="96"/>
      <c r="AG36" s="89" t="s">
        <v>25</v>
      </c>
      <c r="AH36" s="89"/>
      <c r="AI36" s="89"/>
      <c r="AJ36" s="89"/>
      <c r="AK36" s="89"/>
      <c r="AL36" s="89"/>
      <c r="AM36" s="88"/>
      <c r="AN36" s="88"/>
      <c r="AO36" s="88"/>
      <c r="AP36" s="88"/>
      <c r="AQ36" s="88"/>
    </row>
    <row r="37" spans="1:43" ht="18" customHeight="1">
      <c r="E37" s="57"/>
      <c r="F37" s="57"/>
      <c r="N37" s="57"/>
      <c r="S37" s="57"/>
      <c r="T37" s="57"/>
    </row>
    <row r="38" spans="1:43" ht="18" customHeight="1">
      <c r="E38" s="57"/>
      <c r="F38" s="57"/>
      <c r="N38" s="57"/>
      <c r="S38" s="57"/>
      <c r="T38" s="57"/>
    </row>
    <row r="39" spans="1:43" ht="18" customHeight="1">
      <c r="E39" s="57"/>
      <c r="F39" s="57"/>
      <c r="N39" s="57"/>
      <c r="S39" s="57"/>
      <c r="T39" s="57"/>
    </row>
    <row r="40" spans="1:43" ht="18" customHeight="1">
      <c r="E40" s="57"/>
      <c r="F40" s="57"/>
      <c r="N40" s="57"/>
      <c r="S40" s="57"/>
      <c r="T40" s="57"/>
    </row>
    <row r="41" spans="1:43" ht="18" customHeight="1">
      <c r="E41" s="57"/>
      <c r="F41" s="57"/>
      <c r="N41" s="57"/>
      <c r="S41" s="57"/>
      <c r="T41" s="57"/>
    </row>
    <row r="42" spans="1:43" ht="18" customHeight="1">
      <c r="E42" s="57"/>
      <c r="F42" s="57"/>
      <c r="N42" s="57"/>
      <c r="S42" s="57"/>
      <c r="T42" s="57"/>
    </row>
    <row r="43" spans="1:43" ht="18" customHeight="1">
      <c r="E43" s="57"/>
      <c r="F43" s="57"/>
      <c r="N43" s="57"/>
      <c r="S43" s="57"/>
      <c r="T43" s="57"/>
    </row>
    <row r="44" spans="1:43" ht="18" customHeight="1">
      <c r="E44" s="57"/>
      <c r="F44" s="57"/>
      <c r="N44" s="57"/>
      <c r="S44" s="57"/>
      <c r="T44" s="57"/>
    </row>
    <row r="45" spans="1:43" ht="18" customHeight="1">
      <c r="E45" s="57"/>
      <c r="F45" s="57"/>
      <c r="N45" s="57"/>
      <c r="S45" s="57"/>
      <c r="T45" s="57"/>
    </row>
    <row r="46" spans="1:43" ht="18" customHeight="1">
      <c r="E46" s="57"/>
      <c r="F46" s="57"/>
      <c r="N46" s="57"/>
      <c r="S46" s="57"/>
      <c r="T46" s="57"/>
    </row>
    <row r="47" spans="1:43" ht="18" customHeight="1">
      <c r="E47" s="57"/>
      <c r="F47" s="57"/>
      <c r="N47" s="57"/>
      <c r="S47" s="57"/>
      <c r="T47" s="57"/>
    </row>
    <row r="48" spans="1:43" ht="18" customHeight="1">
      <c r="E48" s="57"/>
      <c r="F48" s="57"/>
      <c r="N48" s="57"/>
      <c r="S48" s="57"/>
      <c r="T48" s="57"/>
    </row>
    <row r="49" spans="5:20" ht="18" customHeight="1">
      <c r="E49" s="57"/>
      <c r="F49" s="57"/>
      <c r="N49" s="57"/>
      <c r="S49" s="57"/>
      <c r="T49" s="57"/>
    </row>
    <row r="50" spans="5:20" ht="18" customHeight="1">
      <c r="E50" s="57"/>
      <c r="F50" s="57"/>
      <c r="N50" s="57"/>
      <c r="S50" s="57"/>
      <c r="T50" s="57"/>
    </row>
    <row r="51" spans="5:20" ht="18" customHeight="1">
      <c r="E51" s="57"/>
      <c r="F51" s="57"/>
      <c r="N51" s="57"/>
      <c r="S51" s="57"/>
      <c r="T51" s="57"/>
    </row>
    <row r="52" spans="5:20" ht="18" customHeight="1">
      <c r="N52" s="57"/>
    </row>
    <row r="53" spans="5:20" ht="18" customHeight="1">
      <c r="N53" s="57"/>
    </row>
    <row r="54" spans="5:20" ht="18" customHeight="1">
      <c r="N54" s="57"/>
    </row>
    <row r="55" spans="5:20" ht="18" customHeight="1">
      <c r="N55" s="57"/>
    </row>
    <row r="56" spans="5:20" ht="18" customHeight="1">
      <c r="N56" s="57"/>
    </row>
    <row r="57" spans="5:20" ht="18" customHeight="1">
      <c r="N57" s="57"/>
    </row>
    <row r="58" spans="5:20" ht="18" customHeight="1">
      <c r="N58" s="57"/>
    </row>
    <row r="59" spans="5:20" ht="18" customHeight="1">
      <c r="N59" s="57"/>
    </row>
    <row r="60" spans="5:20" ht="18" customHeight="1">
      <c r="N60" s="57"/>
    </row>
  </sheetData>
  <mergeCells count="15">
    <mergeCell ref="Y31:Z31"/>
    <mergeCell ref="C13:N13"/>
    <mergeCell ref="Q13:AB13"/>
    <mergeCell ref="AE13:AP13"/>
    <mergeCell ref="AS13:BD13"/>
    <mergeCell ref="C22:N22"/>
    <mergeCell ref="Q22:AB22"/>
    <mergeCell ref="AE22:AP22"/>
    <mergeCell ref="AS22:BD22"/>
    <mergeCell ref="B1:BF1"/>
    <mergeCell ref="C2:BD2"/>
    <mergeCell ref="C3:N3"/>
    <mergeCell ref="Q3:AB3"/>
    <mergeCell ref="AE3:AP3"/>
    <mergeCell ref="AS3:BD3"/>
  </mergeCells>
  <dataValidations count="34">
    <dataValidation allowBlank="1" showInputMessage="1" showErrorMessage="1" prompt="Veckodagar för månaden i cellen ovan finns i cellerna Z21 till AF21" sqref="AS23:AT23"/>
    <dataValidation allowBlank="1" showInputMessage="1" showErrorMessage="1" prompt="Veckodagar för månaden i cellen ovan finns i cellerna R21 till X21" sqref="AE23:AF23"/>
    <dataValidation allowBlank="1" showInputMessage="1" showErrorMessage="1" prompt="Veckodagar för månaden i cellen ovan finns i cellerna J21 till P21" sqref="Q23:R23"/>
    <dataValidation allowBlank="1" showInputMessage="1" showErrorMessage="1" prompt="Veckodagar för månaden i cellen ovan finns i cellerna B21 till H21" sqref="C23:D23"/>
    <dataValidation allowBlank="1" showInputMessage="1" showErrorMessage="1" prompt="Veckodagar för månaden i cellen ovan finns i cell Z12 till AF12" sqref="AS14:AT14"/>
    <dataValidation allowBlank="1" showInputMessage="1" showErrorMessage="1" prompt="Veckodagar för månaden i cellen ovan finns i cell R12 till X12" sqref="AE14:AF14"/>
    <dataValidation allowBlank="1" showInputMessage="1" showErrorMessage="1" prompt="Veckodagar för månaden i cellen ovan finns i cellerna J12 till P12" sqref="Q14:R14"/>
    <dataValidation allowBlank="1" showInputMessage="1" showErrorMessage="1" prompt="Veckodagar för månaden i cellen ovan finns i cell B12 till H12" sqref="C14:D14"/>
    <dataValidation allowBlank="1" showInputMessage="1" showErrorMessage="1" prompt="Veckodagar för månaden i cellen ovan finns i cellerna Z3 till AF3" sqref="AS4:AT4"/>
    <dataValidation allowBlank="1" showInputMessage="1" showErrorMessage="1" prompt="Veckodagar för månaden i cellen ovan finns i cellerna R3 till X3" sqref="AE4:AF4"/>
    <dataValidation allowBlank="1" showInputMessage="1" showErrorMessage="1" prompt="Veckodagar för månaden i cellen ovan finns i cellerna J3 till P3" sqref="Q4:R4"/>
    <dataValidation allowBlank="1" showInputMessage="1" showErrorMessage="1" prompt="Veckodagar för månaden i cellen ovan finns i cellerna B3 till H3" sqref="C4:D4"/>
    <dataValidation allowBlank="1" showInputMessage="1" showErrorMessage="1" prompt="V buňkách R22 až X27 se automaticky aktualizují kalendářní dny pro tento měsíc." sqref="AE24:AF24"/>
    <dataValidation allowBlank="1" showInputMessage="1" showErrorMessage="1" prompt="V buňkách J22 až P27 se automaticky aktualizují kalendářní dny pro tento měsíc." sqref="Q24:R25"/>
    <dataValidation allowBlank="1" showInputMessage="1" showErrorMessage="1" prompt="V buňkách B22 až H27 se automaticky aktualizují kalendářní dny pro tento měsíc." sqref="C24:D24"/>
    <dataValidation allowBlank="1" showInputMessage="1" showErrorMessage="1" prompt="V buňkách Z13 až AF18 se automaticky aktualizují kalendářní dny pro tento měsíc." sqref="AS15:AT15"/>
    <dataValidation allowBlank="1" showInputMessage="1" showErrorMessage="1" prompt="V buňkách J13 až P18 se automaticky aktualizují kalendářní dny pro tento měsíc." sqref="Q15:R15"/>
    <dataValidation allowBlank="1" showInputMessage="1" showErrorMessage="1" prompt="V buňkách B13 až H18 se automaticky aktualizují kalendářní dny pro tento měsíc." sqref="C15:D15"/>
    <dataValidation allowBlank="1" showInputMessage="1" showErrorMessage="1" prompt="V buňkách Z4 až AF9 se automaticky aktualizují kalendářní dny pro tento měsíc." sqref="AS5:AT5"/>
    <dataValidation allowBlank="1" showInputMessage="1" showErrorMessage="1" prompt="V buňkách J4 až P9 se automaticky aktualizují kalendářní dny pro tento měsíc." sqref="Q6:R6"/>
    <dataValidation allowBlank="1" showInputMessage="1" showErrorMessage="1" prompt="V této buňce je kalendářní měsíc. V buňkách Z21 až AF27 se automaticky aktualizuje kalendář na tento měsíc." sqref="AS22:BD22"/>
    <dataValidation allowBlank="1" showInputMessage="1" showErrorMessage="1" prompt="V této buňce je kalendářní měsíc. V buňkách R21 až X27 se automaticky aktualizuje kalendář na tento měsíc." sqref="AE22:AP22"/>
    <dataValidation allowBlank="1" showInputMessage="1" showErrorMessage="1" prompt="V této buňce je kalendářní měsíc. V buňkách J21 až P27 se automaticky aktualizuje kalendář na tento měsíc." sqref="Q22:AB22"/>
    <dataValidation allowBlank="1" showInputMessage="1" showErrorMessage="1" prompt="V této buňce je kalendářní měsíc. V buňkách Z12 až AF18 se automaticky aktualizuje kalendář na tento měsíc." sqref="AS13:BD13"/>
    <dataValidation allowBlank="1" showInputMessage="1" showErrorMessage="1" prompt="V této buňce je kalendářní měsíc. V buňkách R12 až X18 se automaticky aktualizuje kalendář na tento měsíc." sqref="AE13:AP13"/>
    <dataValidation allowBlank="1" showInputMessage="1" showErrorMessage="1" prompt="V této buňce je kalendářní měsíc. V buňkách J12 až P18 se automaticky aktualizuje kalendář na tento měsíc." sqref="Q13:AB13"/>
    <dataValidation allowBlank="1" showInputMessage="1" showErrorMessage="1" prompt="V této buňce je kalendářní měsíc. V buňkách B21 až H27 se automaticky aktualizuje kalendář na tento měsíc." sqref="C22:N22"/>
    <dataValidation allowBlank="1" showInputMessage="1" showErrorMessage="1" prompt="V této buňce je kalendářní měsíc. V buňkách B12 až H18 se automaticky aktualizuje kalendář na tento měsíc." sqref="C13:N13"/>
    <dataValidation allowBlank="1" showInputMessage="1" showErrorMessage="1" prompt="V této buňce je kalendářní měsíc. V buňkách Z3 až AF9 se automaticky aktualizuje kalendář na tento měsíc." sqref="AS3:BD3"/>
    <dataValidation allowBlank="1" showInputMessage="1" showErrorMessage="1" prompt="V této buňce je kalendářní měsíc. V buňkách R3 až X9 se automaticky aktualizuje kalendář na tento měsíc." sqref="AE3:AP3"/>
    <dataValidation allowBlank="1" showInputMessage="1" showErrorMessage="1" prompt="V této buňce je kalendářní měsíc. V buňkách J3 až P9 se automaticky aktualizuje kalendář na tento měsíc." sqref="Q3:AB3"/>
    <dataValidation allowBlank="1" showInputMessage="1" showErrorMessage="1" prompt="V této buňce je kalendářní měsíc. V buňkách B3 až H9 se automaticky aktualizuje kalendář na tento měsíc." sqref="C3:O3 O13 O22 AC3 AQ3 BE3 BE13 AQ13 AC13 AC22 AQ22 BE22"/>
    <dataValidation allowBlank="1" showInputMessage="1" showErrorMessage="1" prompt="Pomocí listu Šablona pro vytvoření kalendáře můžete vytvořit kalendář pro libovolný rok. Kalendář na každý měsíc se automaticky aktualizuje po zadaní roku do buňky vpravo." sqref="B2"/>
    <dataValidation allowBlank="1" showInputMessage="1" showErrorMessage="1" prompt="Kalendář na každý měsíc se automaticky aktualizuje v buňkách B2 až AF27 po zadání roku v této buňce." sqref="C2:BE2"/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List1!Rok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Ruzickova Ruzena</dc:creator>
  <cp:lastModifiedBy>Berková</cp:lastModifiedBy>
  <cp:lastPrinted>2025-06-25T12:19:07Z</cp:lastPrinted>
  <dcterms:created xsi:type="dcterms:W3CDTF">2024-11-07T12:13:52Z</dcterms:created>
  <dcterms:modified xsi:type="dcterms:W3CDTF">2025-06-25T12:25:45Z</dcterms:modified>
</cp:coreProperties>
</file>