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zickova\Desktop\"/>
    </mc:Choice>
  </mc:AlternateContent>
  <xr:revisionPtr revIDLastSave="0" documentId="13_ncr:1_{471FAB42-6960-4A44-90F0-99206E097FD0}" xr6:coauthVersionLast="47" xr6:coauthVersionMax="47" xr10:uidLastSave="{00000000-0000-0000-0000-000000000000}"/>
  <bookViews>
    <workbookView xWindow="-28920" yWindow="-120" windowWidth="29040" windowHeight="15840" xr2:uid="{661ED3B1-8F8F-46AB-97C2-6B780CCEB2E3}"/>
  </bookViews>
  <sheets>
    <sheet name="List1" sheetId="1" r:id="rId1"/>
  </sheets>
  <externalReferences>
    <externalReference r:id="rId2"/>
  </externalReferences>
  <definedNames>
    <definedName name="aaaaa" localSheetId="0">DATEVALUE("1/6/"&amp;List1!$C$2)-WEEKDAY(DATEVALUE("1/6/"&amp;List1!$C$2))+2</definedName>
    <definedName name="ahoj" localSheetId="0">DATEVALUE("1/9/"&amp;List1!$C$2)-WEEKDAY(DATEVALUE("1/9/"&amp;List1!$C$2))+2</definedName>
    <definedName name="CC" localSheetId="0">DATEVALUE("1/2/"&amp;List1!$C$2)-WEEKDAY(DATEVALUE("1/2/"&amp;List1!$C$2))+2</definedName>
    <definedName name="CV" localSheetId="0">DATEVALUE("1/4/"&amp;List1!$C$2)-WEEKDAY(DATEVALUE("1/4/"&amp;List1!$C$2))+2</definedName>
    <definedName name="cvi" localSheetId="0">DATEVALUE("1/5/"&amp;List1!$C$2)-WEEKDAY(DATEVALUE("1/5/"&amp;List1!$C$2))+2</definedName>
    <definedName name="Ne1Čvc" localSheetId="0">DATEVALUE("1/7/"&amp;List1!$C$2)-WEEKDAY(DATEVALUE("1/7/"&amp;List1!$C$2))+2</definedName>
    <definedName name="Ne1Led" localSheetId="0">DATEVALUE("1/1/"&amp;List1!$C$2)-WEEKDAY(DATEVALUE("1/1/"&amp;List1!$C$2))+2</definedName>
    <definedName name="Ne1Lis" localSheetId="0">DATEVALUE("1/11/"&amp;List1!$C$2)-WEEKDAY(DATEVALUE("1/11/"&amp;List1!$C$2))+2</definedName>
    <definedName name="Ne1Říj" localSheetId="0">DATEVALUE("1/10/"&amp;List1!$C$2)-WEEKDAY(DATEVALUE("1/10/"&amp;List1!$C$2))+2</definedName>
    <definedName name="Ne1Srp" localSheetId="0">DATEVALUE("1/8/"&amp;List1!$C$2)-WEEKDAY(DATEVALUE("1/8/"&amp;List1!$C$2))-5</definedName>
    <definedName name="ne2br" localSheetId="0">DATEVALUE("1/3/"&amp;List1!$C$2)-WEEKDAY(DATEVALUE("1/3/"&amp;List1!$C$2))+2</definedName>
    <definedName name="Rok" localSheetId="0">List1!$C$2</definedName>
    <definedName name="ZZ">DATEVALUE("1/12/"&amp;'[1]Zákupy 2024'!$C$2)-WEEKDAY(DATEVALUE("1/12/"&amp;'[1]Zákupy 2024'!$C$2))+2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1" l="1"/>
  <c r="BC29" i="1"/>
  <c r="BA29" i="1"/>
  <c r="AY29" i="1"/>
  <c r="AW29" i="1"/>
  <c r="AU29" i="1"/>
  <c r="AS29" i="1"/>
  <c r="AP29" i="1"/>
  <c r="AO29" i="1"/>
  <c r="AM29" i="1"/>
  <c r="AK29" i="1"/>
  <c r="AI29" i="1"/>
  <c r="AG29" i="1"/>
  <c r="AE29" i="1"/>
  <c r="AB29" i="1"/>
  <c r="AA29" i="1"/>
  <c r="Y29" i="1"/>
  <c r="W29" i="1"/>
  <c r="U29" i="1"/>
  <c r="S29" i="1"/>
  <c r="Q29" i="1"/>
  <c r="N29" i="1"/>
  <c r="M29" i="1"/>
  <c r="K29" i="1"/>
  <c r="I29" i="1"/>
  <c r="G29" i="1"/>
  <c r="E29" i="1"/>
  <c r="C29" i="1"/>
  <c r="BD28" i="1"/>
  <c r="BC28" i="1"/>
  <c r="BA28" i="1"/>
  <c r="AY28" i="1"/>
  <c r="AW28" i="1"/>
  <c r="AU28" i="1"/>
  <c r="AS28" i="1"/>
  <c r="AP28" i="1"/>
  <c r="AO28" i="1"/>
  <c r="AM28" i="1"/>
  <c r="AK28" i="1"/>
  <c r="AI28" i="1"/>
  <c r="AG28" i="1"/>
  <c r="AE28" i="1"/>
  <c r="AB28" i="1"/>
  <c r="AA28" i="1"/>
  <c r="Y28" i="1"/>
  <c r="W28" i="1"/>
  <c r="U28" i="1"/>
  <c r="S28" i="1"/>
  <c r="Q28" i="1"/>
  <c r="N28" i="1"/>
  <c r="M28" i="1"/>
  <c r="K28" i="1"/>
  <c r="I28" i="1"/>
  <c r="G28" i="1"/>
  <c r="E28" i="1"/>
  <c r="C28" i="1"/>
  <c r="BD27" i="1"/>
  <c r="BC27" i="1"/>
  <c r="BA27" i="1"/>
  <c r="AY27" i="1"/>
  <c r="AW27" i="1"/>
  <c r="AU27" i="1"/>
  <c r="AS27" i="1"/>
  <c r="AP27" i="1"/>
  <c r="AO27" i="1"/>
  <c r="AM27" i="1"/>
  <c r="AK27" i="1"/>
  <c r="AI27" i="1"/>
  <c r="AG27" i="1"/>
  <c r="AE27" i="1"/>
  <c r="AB27" i="1"/>
  <c r="AA27" i="1"/>
  <c r="Y27" i="1"/>
  <c r="W27" i="1"/>
  <c r="U27" i="1"/>
  <c r="S27" i="1"/>
  <c r="Q27" i="1"/>
  <c r="N27" i="1"/>
  <c r="M27" i="1"/>
  <c r="K27" i="1"/>
  <c r="I27" i="1"/>
  <c r="G27" i="1"/>
  <c r="E27" i="1"/>
  <c r="C27" i="1"/>
  <c r="BD26" i="1"/>
  <c r="BC26" i="1"/>
  <c r="BA26" i="1"/>
  <c r="AY26" i="1"/>
  <c r="AW26" i="1"/>
  <c r="AU26" i="1"/>
  <c r="AS26" i="1"/>
  <c r="AP26" i="1"/>
  <c r="AO26" i="1"/>
  <c r="AM26" i="1"/>
  <c r="AK26" i="1"/>
  <c r="AI26" i="1"/>
  <c r="AG26" i="1"/>
  <c r="AE26" i="1"/>
  <c r="AB26" i="1"/>
  <c r="AA26" i="1"/>
  <c r="Y26" i="1"/>
  <c r="W26" i="1"/>
  <c r="U26" i="1"/>
  <c r="S26" i="1"/>
  <c r="Q26" i="1"/>
  <c r="N26" i="1"/>
  <c r="M26" i="1"/>
  <c r="K26" i="1"/>
  <c r="I26" i="1"/>
  <c r="G26" i="1"/>
  <c r="E26" i="1"/>
  <c r="C26" i="1"/>
  <c r="BD25" i="1"/>
  <c r="BC25" i="1"/>
  <c r="BA25" i="1"/>
  <c r="AY25" i="1"/>
  <c r="AW25" i="1"/>
  <c r="AU25" i="1"/>
  <c r="AS25" i="1"/>
  <c r="AP25" i="1"/>
  <c r="AO25" i="1"/>
  <c r="AM25" i="1"/>
  <c r="AK25" i="1"/>
  <c r="AI25" i="1"/>
  <c r="AG25" i="1"/>
  <c r="AE25" i="1"/>
  <c r="AB25" i="1"/>
  <c r="AA25" i="1"/>
  <c r="Y25" i="1"/>
  <c r="W25" i="1"/>
  <c r="U25" i="1"/>
  <c r="S25" i="1"/>
  <c r="Q25" i="1"/>
  <c r="N25" i="1"/>
  <c r="M25" i="1"/>
  <c r="K25" i="1"/>
  <c r="I25" i="1"/>
  <c r="G25" i="1"/>
  <c r="E25" i="1"/>
  <c r="C25" i="1"/>
  <c r="AB24" i="1"/>
  <c r="AA24" i="1"/>
  <c r="Y24" i="1"/>
  <c r="W24" i="1"/>
  <c r="U24" i="1"/>
  <c r="S24" i="1"/>
  <c r="Q24" i="1"/>
  <c r="N24" i="1"/>
  <c r="M24" i="1"/>
  <c r="K24" i="1"/>
  <c r="I24" i="1"/>
  <c r="G24" i="1"/>
  <c r="E24" i="1"/>
  <c r="C24" i="1"/>
  <c r="BD20" i="1"/>
  <c r="BC20" i="1"/>
  <c r="BA20" i="1"/>
  <c r="AY20" i="1"/>
  <c r="AW20" i="1"/>
  <c r="AU20" i="1"/>
  <c r="AS20" i="1"/>
  <c r="AO20" i="1"/>
  <c r="AM20" i="1"/>
  <c r="AK20" i="1"/>
  <c r="AI20" i="1"/>
  <c r="AG20" i="1"/>
  <c r="AE20" i="1"/>
  <c r="AB20" i="1"/>
  <c r="AA20" i="1"/>
  <c r="Y20" i="1"/>
  <c r="W20" i="1"/>
  <c r="U20" i="1"/>
  <c r="S20" i="1"/>
  <c r="Q20" i="1"/>
  <c r="N20" i="1"/>
  <c r="M20" i="1"/>
  <c r="K20" i="1"/>
  <c r="I20" i="1"/>
  <c r="G20" i="1"/>
  <c r="E20" i="1"/>
  <c r="C20" i="1"/>
  <c r="BD19" i="1"/>
  <c r="BC19" i="1"/>
  <c r="BA19" i="1"/>
  <c r="AY19" i="1"/>
  <c r="AW19" i="1"/>
  <c r="AU19" i="1"/>
  <c r="AS19" i="1"/>
  <c r="AP19" i="1"/>
  <c r="AO19" i="1"/>
  <c r="AM19" i="1"/>
  <c r="AK19" i="1"/>
  <c r="AI19" i="1"/>
  <c r="AG19" i="1"/>
  <c r="AE19" i="1"/>
  <c r="AB19" i="1"/>
  <c r="AA19" i="1"/>
  <c r="Y19" i="1"/>
  <c r="W19" i="1"/>
  <c r="U19" i="1"/>
  <c r="S19" i="1"/>
  <c r="Q19" i="1"/>
  <c r="N19" i="1"/>
  <c r="M19" i="1"/>
  <c r="K19" i="1"/>
  <c r="I19" i="1"/>
  <c r="G19" i="1"/>
  <c r="E19" i="1"/>
  <c r="C19" i="1"/>
  <c r="BD18" i="1"/>
  <c r="BC18" i="1"/>
  <c r="BA18" i="1"/>
  <c r="AY18" i="1"/>
  <c r="AW18" i="1"/>
  <c r="AU18" i="1"/>
  <c r="AS18" i="1"/>
  <c r="AP18" i="1"/>
  <c r="AO18" i="1"/>
  <c r="AM18" i="1"/>
  <c r="AK18" i="1"/>
  <c r="AI18" i="1"/>
  <c r="AG18" i="1"/>
  <c r="AE18" i="1"/>
  <c r="AB18" i="1"/>
  <c r="AA18" i="1"/>
  <c r="Y18" i="1"/>
  <c r="W18" i="1"/>
  <c r="U18" i="1"/>
  <c r="S18" i="1"/>
  <c r="Q18" i="1"/>
  <c r="N18" i="1"/>
  <c r="M18" i="1"/>
  <c r="K18" i="1"/>
  <c r="I18" i="1"/>
  <c r="G18" i="1"/>
  <c r="E18" i="1"/>
  <c r="C18" i="1"/>
  <c r="BD17" i="1"/>
  <c r="BC17" i="1"/>
  <c r="BA17" i="1"/>
  <c r="AY17" i="1"/>
  <c r="AW17" i="1"/>
  <c r="AU17" i="1"/>
  <c r="AS17" i="1"/>
  <c r="AP17" i="1"/>
  <c r="AO17" i="1"/>
  <c r="AM17" i="1"/>
  <c r="AK17" i="1"/>
  <c r="AI17" i="1"/>
  <c r="AG17" i="1"/>
  <c r="AE17" i="1"/>
  <c r="AB17" i="1"/>
  <c r="AA17" i="1"/>
  <c r="Y17" i="1"/>
  <c r="W17" i="1"/>
  <c r="U17" i="1"/>
  <c r="S17" i="1"/>
  <c r="Q17" i="1"/>
  <c r="N17" i="1"/>
  <c r="M17" i="1"/>
  <c r="K17" i="1"/>
  <c r="I17" i="1"/>
  <c r="G17" i="1"/>
  <c r="E17" i="1"/>
  <c r="C17" i="1"/>
  <c r="BD16" i="1"/>
  <c r="BC16" i="1"/>
  <c r="BA16" i="1"/>
  <c r="AY16" i="1"/>
  <c r="AW16" i="1"/>
  <c r="AU16" i="1"/>
  <c r="AS16" i="1"/>
  <c r="AP16" i="1"/>
  <c r="AO16" i="1"/>
  <c r="AM16" i="1"/>
  <c r="AK16" i="1"/>
  <c r="AI16" i="1"/>
  <c r="AG16" i="1"/>
  <c r="AE16" i="1"/>
  <c r="AB16" i="1"/>
  <c r="AA16" i="1"/>
  <c r="Y16" i="1"/>
  <c r="W16" i="1"/>
  <c r="U16" i="1"/>
  <c r="S16" i="1"/>
  <c r="Q16" i="1"/>
  <c r="N16" i="1"/>
  <c r="M16" i="1"/>
  <c r="K16" i="1"/>
  <c r="I16" i="1"/>
  <c r="G16" i="1"/>
  <c r="E16" i="1"/>
  <c r="C16" i="1"/>
  <c r="BD15" i="1"/>
  <c r="BC15" i="1"/>
  <c r="BA15" i="1"/>
  <c r="AY15" i="1"/>
  <c r="AW15" i="1"/>
  <c r="AU15" i="1"/>
  <c r="AS15" i="1"/>
  <c r="AP15" i="1"/>
  <c r="AO15" i="1"/>
  <c r="AM15" i="1"/>
  <c r="AK15" i="1"/>
  <c r="AI15" i="1"/>
  <c r="AG15" i="1"/>
  <c r="AE15" i="1"/>
  <c r="AB15" i="1"/>
  <c r="AA15" i="1"/>
  <c r="Y15" i="1"/>
  <c r="W15" i="1"/>
  <c r="U15" i="1"/>
  <c r="S15" i="1"/>
  <c r="Q15" i="1"/>
  <c r="N15" i="1"/>
  <c r="M15" i="1"/>
  <c r="K15" i="1"/>
  <c r="I15" i="1"/>
  <c r="G15" i="1"/>
  <c r="E15" i="1"/>
  <c r="C15" i="1"/>
  <c r="BD11" i="1"/>
  <c r="BC11" i="1"/>
  <c r="BA11" i="1"/>
  <c r="AY11" i="1"/>
  <c r="AW11" i="1"/>
  <c r="AU11" i="1"/>
  <c r="AS11" i="1"/>
  <c r="AP11" i="1"/>
  <c r="AO11" i="1"/>
  <c r="AM11" i="1"/>
  <c r="AK11" i="1"/>
  <c r="AI11" i="1"/>
  <c r="AG11" i="1"/>
  <c r="AE11" i="1"/>
  <c r="AB11" i="1"/>
  <c r="AA11" i="1"/>
  <c r="Y11" i="1"/>
  <c r="W11" i="1"/>
  <c r="U11" i="1"/>
  <c r="S11" i="1"/>
  <c r="Q11" i="1"/>
  <c r="N11" i="1"/>
  <c r="M11" i="1"/>
  <c r="K11" i="1"/>
  <c r="I11" i="1"/>
  <c r="G11" i="1"/>
  <c r="E11" i="1"/>
  <c r="C11" i="1"/>
  <c r="BD10" i="1"/>
  <c r="BC10" i="1"/>
  <c r="BA10" i="1"/>
  <c r="AY10" i="1"/>
  <c r="AW10" i="1"/>
  <c r="AU10" i="1"/>
  <c r="AS10" i="1"/>
  <c r="AP10" i="1"/>
  <c r="AO10" i="1"/>
  <c r="AM10" i="1"/>
  <c r="AK10" i="1"/>
  <c r="AI10" i="1"/>
  <c r="AG10" i="1"/>
  <c r="AE10" i="1"/>
  <c r="AB10" i="1"/>
  <c r="AA10" i="1"/>
  <c r="Y10" i="1"/>
  <c r="W10" i="1"/>
  <c r="U10" i="1"/>
  <c r="S10" i="1"/>
  <c r="Q10" i="1"/>
  <c r="N10" i="1"/>
  <c r="M10" i="1"/>
  <c r="K10" i="1"/>
  <c r="I10" i="1"/>
  <c r="G10" i="1"/>
  <c r="E10" i="1"/>
  <c r="C10" i="1"/>
  <c r="BD9" i="1"/>
  <c r="BC9" i="1"/>
  <c r="BA9" i="1"/>
  <c r="AY9" i="1"/>
  <c r="AW9" i="1"/>
  <c r="AU9" i="1"/>
  <c r="AS9" i="1"/>
  <c r="AP9" i="1"/>
  <c r="AO9" i="1"/>
  <c r="AM9" i="1"/>
  <c r="AK9" i="1"/>
  <c r="AI9" i="1"/>
  <c r="AG9" i="1"/>
  <c r="AE9" i="1"/>
  <c r="AB9" i="1"/>
  <c r="AA9" i="1"/>
  <c r="Y9" i="1"/>
  <c r="W9" i="1"/>
  <c r="U9" i="1"/>
  <c r="S9" i="1"/>
  <c r="Q9" i="1"/>
  <c r="N9" i="1"/>
  <c r="M9" i="1"/>
  <c r="K9" i="1"/>
  <c r="I9" i="1"/>
  <c r="G9" i="1"/>
  <c r="E9" i="1"/>
  <c r="C9" i="1"/>
  <c r="BD8" i="1"/>
  <c r="BC8" i="1"/>
  <c r="BA8" i="1"/>
  <c r="AY8" i="1"/>
  <c r="AW8" i="1"/>
  <c r="AU8" i="1"/>
  <c r="AS8" i="1"/>
  <c r="AP8" i="1"/>
  <c r="AO8" i="1"/>
  <c r="AM8" i="1"/>
  <c r="AK8" i="1"/>
  <c r="AI8" i="1"/>
  <c r="AG8" i="1"/>
  <c r="AE8" i="1"/>
  <c r="AB8" i="1"/>
  <c r="AA8" i="1"/>
  <c r="Y8" i="1"/>
  <c r="W8" i="1"/>
  <c r="U8" i="1"/>
  <c r="S8" i="1"/>
  <c r="Q8" i="1"/>
  <c r="N8" i="1"/>
  <c r="M8" i="1"/>
  <c r="K8" i="1"/>
  <c r="I8" i="1"/>
  <c r="G8" i="1"/>
  <c r="E8" i="1"/>
  <c r="C8" i="1"/>
  <c r="BD7" i="1"/>
  <c r="BC7" i="1"/>
  <c r="BA7" i="1"/>
  <c r="AY7" i="1"/>
  <c r="AW7" i="1"/>
  <c r="AU7" i="1"/>
  <c r="AS7" i="1"/>
  <c r="AP7" i="1"/>
  <c r="AO7" i="1"/>
  <c r="AM7" i="1"/>
  <c r="AK7" i="1"/>
  <c r="AI7" i="1"/>
  <c r="AG7" i="1"/>
  <c r="AE7" i="1"/>
  <c r="AB7" i="1"/>
  <c r="AA7" i="1"/>
  <c r="Y7" i="1"/>
  <c r="W7" i="1"/>
  <c r="U7" i="1"/>
  <c r="S7" i="1"/>
  <c r="Q7" i="1"/>
  <c r="N7" i="1"/>
  <c r="M7" i="1"/>
  <c r="K7" i="1"/>
  <c r="I7" i="1"/>
  <c r="G7" i="1"/>
  <c r="E7" i="1"/>
  <c r="C7" i="1"/>
  <c r="BD6" i="1"/>
  <c r="BC6" i="1"/>
  <c r="BA6" i="1"/>
  <c r="AY6" i="1"/>
  <c r="AW6" i="1"/>
  <c r="AU6" i="1"/>
  <c r="AS6" i="1"/>
  <c r="AP6" i="1"/>
  <c r="AO6" i="1"/>
  <c r="AM6" i="1"/>
  <c r="AK6" i="1"/>
  <c r="AI6" i="1"/>
  <c r="AG6" i="1"/>
  <c r="AE6" i="1"/>
  <c r="AB6" i="1"/>
  <c r="AA6" i="1"/>
  <c r="Y6" i="1"/>
  <c r="W6" i="1"/>
  <c r="U6" i="1"/>
  <c r="S6" i="1"/>
  <c r="Q6" i="1"/>
  <c r="N6" i="1"/>
  <c r="M6" i="1"/>
  <c r="K6" i="1"/>
  <c r="I6" i="1"/>
  <c r="G6" i="1"/>
  <c r="E6" i="1"/>
  <c r="C6" i="1"/>
</calcChain>
</file>

<file path=xl/sharedStrings.xml><?xml version="1.0" encoding="utf-8"?>
<sst xmlns="http://schemas.openxmlformats.org/spreadsheetml/2006/main" count="121" uniqueCount="28">
  <si>
    <t>Svozový kalendář pro komunální a tříděné odpady ( plasty a papír ) pro rok 2024 - Skalice u České Lípy</t>
  </si>
  <si>
    <t>Leden</t>
  </si>
  <si>
    <t>týden</t>
  </si>
  <si>
    <t>Duben</t>
  </si>
  <si>
    <t>Červenec</t>
  </si>
  <si>
    <t>Říjen</t>
  </si>
  <si>
    <t>Po</t>
  </si>
  <si>
    <t>Út</t>
  </si>
  <si>
    <t>St</t>
  </si>
  <si>
    <t>Čt</t>
  </si>
  <si>
    <t>Pá</t>
  </si>
  <si>
    <t>So</t>
  </si>
  <si>
    <t>Ne</t>
  </si>
  <si>
    <t>Únor</t>
  </si>
  <si>
    <t>Květen</t>
  </si>
  <si>
    <t>Srpen</t>
  </si>
  <si>
    <t>Listopad</t>
  </si>
  <si>
    <t>Březen</t>
  </si>
  <si>
    <t>Červen</t>
  </si>
  <si>
    <t>Září</t>
  </si>
  <si>
    <t>Prosinec</t>
  </si>
  <si>
    <t>x</t>
  </si>
  <si>
    <r>
      <t xml:space="preserve"> Svoz plastů - 1x za 21 dnů - úterý dle kalendáře </t>
    </r>
    <r>
      <rPr>
        <b/>
        <sz val="11"/>
        <rFont val="Aptos Narrow"/>
        <family val="2"/>
        <charset val="238"/>
        <scheme val="minor"/>
      </rPr>
      <t xml:space="preserve">DTD </t>
    </r>
  </si>
  <si>
    <t xml:space="preserve"> Svoz plastů - 1x7 středa - veřejné stanoviště</t>
  </si>
  <si>
    <r>
      <t xml:space="preserve"> Svoz papíru - 1x 28 měsíčně - čtvrtek dle kalendáře </t>
    </r>
    <r>
      <rPr>
        <b/>
        <sz val="11"/>
        <rFont val="Aptos Narrow"/>
        <family val="2"/>
        <charset val="238"/>
        <scheme val="minor"/>
      </rPr>
      <t>DTD</t>
    </r>
  </si>
  <si>
    <t xml:space="preserve"> Svoz papíru - 1x 7 pátek - veřejné stanovitě</t>
  </si>
  <si>
    <t xml:space="preserve"> Svoz komunálního odpadu - 1x7 pondělí</t>
  </si>
  <si>
    <t xml:space="preserve"> Státní svátky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</si>
</sst>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8" x14ac:knownFonts="1"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20"/>
      <name val="Aptos Display"/>
      <family val="1"/>
      <charset val="238"/>
      <scheme val="major"/>
    </font>
    <font>
      <sz val="11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3300"/>
      </left>
      <right style="thin">
        <color indexed="64"/>
      </right>
      <top style="thick">
        <color rgb="FFFF3300"/>
      </top>
      <bottom style="thick">
        <color rgb="FFFF3300"/>
      </bottom>
      <diagonal/>
    </border>
    <border>
      <left style="thin">
        <color indexed="64"/>
      </left>
      <right style="thick">
        <color rgb="FFFF3300"/>
      </right>
      <top style="thick">
        <color rgb="FFFF3300"/>
      </top>
      <bottom style="thick">
        <color rgb="FFFF33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 applyFont="0" applyFill="0" applyBorder="0">
      <alignment horizontal="center"/>
    </xf>
    <xf numFmtId="164" fontId="5" fillId="0" borderId="0" applyFont="0" applyFill="0" applyBorder="0">
      <alignment horizontal="right"/>
    </xf>
  </cellStyleXfs>
  <cellXfs count="63">
    <xf numFmtId="0" fontId="0" fillId="0" borderId="0" xfId="0"/>
    <xf numFmtId="0" fontId="1" fillId="0" borderId="0" xfId="1" applyAlignment="1">
      <alignment horizontal="center" vertical="center"/>
    </xf>
    <xf numFmtId="0" fontId="2" fillId="2" borderId="1" xfId="2" applyFill="1" applyAlignment="1">
      <alignment horizontal="center" vertical="center"/>
    </xf>
    <xf numFmtId="0" fontId="0" fillId="0" borderId="3" xfId="3" applyFont="1" applyBorder="1" applyAlignment="1">
      <alignment horizontal="centerContinuous"/>
    </xf>
    <xf numFmtId="0" fontId="0" fillId="0" borderId="5" xfId="3" applyFont="1" applyBorder="1" applyAlignment="1">
      <alignment horizontal="centerContinuous"/>
    </xf>
    <xf numFmtId="0" fontId="0" fillId="0" borderId="2" xfId="3" applyFont="1" applyBorder="1" applyAlignment="1">
      <alignment horizontal="centerContinuous"/>
    </xf>
    <xf numFmtId="0" fontId="0" fillId="0" borderId="2" xfId="3" applyFont="1" applyBorder="1">
      <alignment horizontal="center"/>
    </xf>
    <xf numFmtId="0" fontId="0" fillId="0" borderId="2" xfId="3" applyFont="1" applyFill="1" applyBorder="1">
      <alignment horizontal="center"/>
    </xf>
    <xf numFmtId="0" fontId="0" fillId="0" borderId="3" xfId="3" applyFont="1" applyBorder="1">
      <alignment horizontal="center"/>
    </xf>
    <xf numFmtId="0" fontId="0" fillId="0" borderId="5" xfId="3" applyFont="1" applyBorder="1">
      <alignment horizontal="center"/>
    </xf>
    <xf numFmtId="0" fontId="0" fillId="0" borderId="2" xfId="3" applyFont="1" applyFill="1" applyBorder="1" applyAlignment="1">
      <alignment horizontal="right"/>
    </xf>
    <xf numFmtId="0" fontId="0" fillId="3" borderId="2" xfId="3" applyFont="1" applyFill="1" applyBorder="1" applyAlignment="1">
      <alignment horizontal="centerContinuous"/>
    </xf>
    <xf numFmtId="0" fontId="0" fillId="0" borderId="2" xfId="3" applyFont="1" applyFill="1" applyBorder="1" applyAlignment="1">
      <alignment horizontal="centerContinuous"/>
    </xf>
    <xf numFmtId="0" fontId="0" fillId="4" borderId="2" xfId="3" applyFont="1" applyFill="1" applyBorder="1" applyAlignment="1">
      <alignment horizontal="right"/>
    </xf>
    <xf numFmtId="0" fontId="0" fillId="2" borderId="2" xfId="3" applyFont="1" applyFill="1" applyBorder="1" applyAlignment="1">
      <alignment horizontal="right"/>
    </xf>
    <xf numFmtId="164" fontId="5" fillId="3" borderId="2" xfId="4" applyFill="1" applyBorder="1" applyAlignment="1">
      <alignment horizontal="centerContinuous"/>
    </xf>
    <xf numFmtId="164" fontId="5" fillId="0" borderId="2" xfId="4" applyFill="1" applyBorder="1" applyAlignment="1">
      <alignment horizontal="centerContinuous"/>
    </xf>
    <xf numFmtId="164" fontId="5" fillId="4" borderId="2" xfId="4" applyFill="1" applyBorder="1">
      <alignment horizontal="right"/>
    </xf>
    <xf numFmtId="164" fontId="5" fillId="2" borderId="2" xfId="4" applyFill="1" applyBorder="1">
      <alignment horizontal="right"/>
    </xf>
    <xf numFmtId="164" fontId="5" fillId="5" borderId="2" xfId="4" applyFill="1" applyBorder="1" applyAlignment="1">
      <alignment horizontal="centerContinuous"/>
    </xf>
    <xf numFmtId="164" fontId="5" fillId="3" borderId="2" xfId="4" applyFill="1" applyBorder="1">
      <alignment horizontal="right"/>
    </xf>
    <xf numFmtId="164" fontId="5" fillId="0" borderId="3" xfId="4" applyBorder="1" applyAlignment="1">
      <alignment horizontal="centerContinuous"/>
    </xf>
    <xf numFmtId="164" fontId="5" fillId="0" borderId="5" xfId="4" applyBorder="1" applyAlignment="1">
      <alignment horizontal="centerContinuous"/>
    </xf>
    <xf numFmtId="0" fontId="5" fillId="2" borderId="2" xfId="4" applyNumberFormat="1" applyFill="1" applyBorder="1">
      <alignment horizontal="right"/>
    </xf>
    <xf numFmtId="164" fontId="5" fillId="6" borderId="2" xfId="4" applyFill="1" applyBorder="1" applyAlignment="1">
      <alignment horizontal="centerContinuous"/>
    </xf>
    <xf numFmtId="164" fontId="5" fillId="0" borderId="3" xfId="4" applyFill="1" applyBorder="1" applyAlignment="1">
      <alignment horizontal="centerContinuous"/>
    </xf>
    <xf numFmtId="164" fontId="5" fillId="0" borderId="5" xfId="4" applyFill="1" applyBorder="1" applyAlignment="1">
      <alignment horizontal="centerContinuous"/>
    </xf>
    <xf numFmtId="164" fontId="5" fillId="0" borderId="2" xfId="4" applyFill="1" applyBorder="1">
      <alignment horizontal="right"/>
    </xf>
    <xf numFmtId="164" fontId="5" fillId="5" borderId="6" xfId="4" applyFill="1" applyBorder="1" applyAlignment="1">
      <alignment horizontal="centerContinuous"/>
    </xf>
    <xf numFmtId="164" fontId="5" fillId="0" borderId="2" xfId="4" applyBorder="1" applyAlignment="1">
      <alignment horizontal="centerContinuous"/>
    </xf>
    <xf numFmtId="164" fontId="5" fillId="0" borderId="2" xfId="4" applyBorder="1">
      <alignment horizontal="right"/>
    </xf>
    <xf numFmtId="164" fontId="5" fillId="0" borderId="3" xfId="4" applyBorder="1">
      <alignment horizontal="right"/>
    </xf>
    <xf numFmtId="164" fontId="5" fillId="0" borderId="5" xfId="4" applyBorder="1">
      <alignment horizontal="right"/>
    </xf>
    <xf numFmtId="164" fontId="5" fillId="5" borderId="7" xfId="4" applyFill="1" applyBorder="1" applyAlignment="1">
      <alignment horizontal="centerContinuous"/>
    </xf>
    <xf numFmtId="164" fontId="5" fillId="5" borderId="8" xfId="4" applyFill="1" applyBorder="1" applyAlignment="1">
      <alignment horizontal="centerContinuous"/>
    </xf>
    <xf numFmtId="164" fontId="5" fillId="6" borderId="5" xfId="4" applyFill="1" applyBorder="1" applyAlignment="1">
      <alignment horizontal="centerContinuous"/>
    </xf>
    <xf numFmtId="164" fontId="5" fillId="0" borderId="5" xfId="4" applyFill="1" applyBorder="1">
      <alignment horizontal="right"/>
    </xf>
    <xf numFmtId="164" fontId="5" fillId="0" borderId="3" xfId="4" applyFill="1" applyBorder="1">
      <alignment horizontal="right"/>
    </xf>
    <xf numFmtId="164" fontId="5" fillId="0" borderId="9" xfId="4" applyBorder="1" applyAlignment="1">
      <alignment horizontal="centerContinuous"/>
    </xf>
    <xf numFmtId="164" fontId="5" fillId="0" borderId="10" xfId="4" applyBorder="1" applyAlignment="1">
      <alignment horizontal="centerContinuous"/>
    </xf>
    <xf numFmtId="0" fontId="5" fillId="0" borderId="2" xfId="4" applyNumberFormat="1" applyFill="1" applyBorder="1">
      <alignment horizontal="right"/>
    </xf>
    <xf numFmtId="0" fontId="5" fillId="0" borderId="2" xfId="4" applyNumberFormat="1" applyBorder="1">
      <alignment horizontal="right"/>
    </xf>
    <xf numFmtId="164" fontId="5" fillId="0" borderId="6" xfId="4" applyFill="1" applyBorder="1" applyAlignment="1">
      <alignment horizontal="centerContinuous"/>
    </xf>
    <xf numFmtId="164" fontId="5" fillId="3" borderId="3" xfId="4" applyFill="1" applyBorder="1" applyAlignment="1">
      <alignment horizontal="centerContinuous"/>
    </xf>
    <xf numFmtId="164" fontId="5" fillId="0" borderId="9" xfId="4" applyFill="1" applyBorder="1" applyAlignment="1">
      <alignment horizontal="centerContinuous"/>
    </xf>
    <xf numFmtId="164" fontId="5" fillId="0" borderId="10" xfId="4" applyFill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7" fillId="0" borderId="0" xfId="0" applyFont="1"/>
    <xf numFmtId="14" fontId="0" fillId="0" borderId="0" xfId="0" applyNumberFormat="1"/>
    <xf numFmtId="0" fontId="6" fillId="8" borderId="0" xfId="0" applyFont="1" applyFill="1" applyAlignment="1">
      <alignment horizontal="center"/>
    </xf>
    <xf numFmtId="164" fontId="5" fillId="8" borderId="2" xfId="4" applyFill="1" applyBorder="1" applyAlignment="1">
      <alignment horizontal="centerContinuous"/>
    </xf>
    <xf numFmtId="0" fontId="2" fillId="2" borderId="1" xfId="2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164" fontId="5" fillId="7" borderId="2" xfId="4" applyFill="1" applyBorder="1">
      <alignment horizontal="right"/>
    </xf>
    <xf numFmtId="164" fontId="5" fillId="8" borderId="11" xfId="4" applyFill="1" applyBorder="1" applyAlignment="1">
      <alignment horizontal="centerContinuous"/>
    </xf>
    <xf numFmtId="164" fontId="5" fillId="8" borderId="12" xfId="4" applyFill="1" applyBorder="1" applyAlignment="1">
      <alignment horizontal="centerContinuous"/>
    </xf>
  </cellXfs>
  <cellStyles count="5">
    <cellStyle name="Den" xfId="4" xr:uid="{07EF7323-338F-4821-96CB-2A9C3D91E612}"/>
    <cellStyle name="Den v týdnu" xfId="3" xr:uid="{D8844F5F-2880-4DDC-AB01-96305361A570}"/>
    <cellStyle name="Nadpis 1" xfId="2" builtinId="16"/>
    <cellStyle name="Název" xfId="1" builtinId="1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inventura%20n&#225;dob%20-%20mapy\Svozov&#233;%20kalend&#225;&#345;e\Kalend&#225;&#345;e%202023,2024%20-%20obce.xlsx" TargetMode="External"/><Relationship Id="rId1" Type="http://schemas.openxmlformats.org/officeDocument/2006/relationships/externalLinkPath" Target="file:///N:\inventura%20n&#225;dob%20-%20mapy\Svozov&#233;%20kalend&#225;&#345;e\Kalend&#225;&#345;e%202023,2024%20-%20ob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lany"/>
      <sheetName val="Zákupy"/>
      <sheetName val="Cvikov"/>
      <sheetName val="Kamenický Šenov"/>
      <sheetName val="Zahrádky"/>
      <sheetName val="Bohatice"/>
      <sheetName val="Holany 2024"/>
      <sheetName val="Zákupy 2024"/>
      <sheetName val="Cvikov 2024"/>
      <sheetName val="Kamenický Šenov 2024"/>
      <sheetName val="Zahrádky 2024"/>
      <sheetName val="Bohatice 2024"/>
      <sheetName val="Sosnová 2024"/>
      <sheetName val="Česká Lípa 2024"/>
      <sheetName val="Skalice u České Lípy 2024"/>
      <sheetName val="prázdný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C148-7B2F-4061-BB44-FBD4A3455240}">
  <dimension ref="B1:BF66"/>
  <sheetViews>
    <sheetView tabSelected="1" workbookViewId="0">
      <selection activeCell="AT30" sqref="AT30"/>
    </sheetView>
  </sheetViews>
  <sheetFormatPr defaultRowHeight="15" x14ac:dyDescent="0.25"/>
  <cols>
    <col min="2" max="2" width="2.7109375" customWidth="1"/>
    <col min="3" max="14" width="4.28515625" customWidth="1"/>
    <col min="15" max="15" width="6.7109375" customWidth="1"/>
    <col min="16" max="16" width="4.28515625" customWidth="1"/>
    <col min="17" max="18" width="6.7109375" customWidth="1"/>
    <col min="19" max="27" width="4.28515625" customWidth="1"/>
    <col min="28" max="28" width="4.7109375" customWidth="1"/>
    <col min="29" max="29" width="9.42578125" customWidth="1"/>
    <col min="30" max="42" width="4.28515625" customWidth="1"/>
    <col min="43" max="43" width="7" customWidth="1"/>
    <col min="44" max="56" width="4.28515625" customWidth="1"/>
    <col min="57" max="57" width="6.7109375" customWidth="1"/>
    <col min="58" max="58" width="2.7109375" customWidth="1"/>
  </cols>
  <sheetData>
    <row r="1" spans="2:58" ht="18" customHeight="1" x14ac:dyDescent="0.25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2:58" ht="30" customHeight="1" x14ac:dyDescent="0.25">
      <c r="C2" s="56">
        <v>2024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1"/>
    </row>
    <row r="3" spans="2:58" ht="18" customHeight="1" thickBot="1" x14ac:dyDescent="0.3">
      <c r="C3" s="54" t="s">
        <v>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" t="s">
        <v>2</v>
      </c>
      <c r="Q3" s="57" t="s">
        <v>3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  <c r="AC3" s="2" t="s">
        <v>2</v>
      </c>
      <c r="AE3" s="54" t="s">
        <v>4</v>
      </c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2" t="s">
        <v>2</v>
      </c>
      <c r="AS3" s="54" t="s">
        <v>5</v>
      </c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2" t="s">
        <v>2</v>
      </c>
    </row>
    <row r="4" spans="2:58" ht="18" customHeight="1" thickTop="1" x14ac:dyDescent="0.25">
      <c r="C4" s="3" t="s">
        <v>6</v>
      </c>
      <c r="D4" s="4"/>
      <c r="E4" s="5" t="s">
        <v>7</v>
      </c>
      <c r="F4" s="5"/>
      <c r="G4" s="5" t="s">
        <v>8</v>
      </c>
      <c r="H4" s="5"/>
      <c r="I4" s="5" t="s">
        <v>9</v>
      </c>
      <c r="J4" s="5"/>
      <c r="K4" s="5" t="s">
        <v>10</v>
      </c>
      <c r="L4" s="5"/>
      <c r="M4" s="6" t="s">
        <v>11</v>
      </c>
      <c r="N4" s="6" t="s">
        <v>12</v>
      </c>
      <c r="O4" s="7"/>
      <c r="Q4" s="5" t="s">
        <v>6</v>
      </c>
      <c r="R4" s="5"/>
      <c r="S4" s="5" t="s">
        <v>7</v>
      </c>
      <c r="T4" s="5"/>
      <c r="U4" s="5" t="s">
        <v>8</v>
      </c>
      <c r="V4" s="5"/>
      <c r="W4" s="5" t="s">
        <v>9</v>
      </c>
      <c r="X4" s="5"/>
      <c r="Y4" s="5" t="s">
        <v>10</v>
      </c>
      <c r="Z4" s="5"/>
      <c r="AA4" s="6" t="s">
        <v>11</v>
      </c>
      <c r="AB4" s="6" t="s">
        <v>12</v>
      </c>
      <c r="AC4" s="7"/>
      <c r="AE4" s="5" t="s">
        <v>6</v>
      </c>
      <c r="AF4" s="5"/>
      <c r="AG4" s="5" t="s">
        <v>7</v>
      </c>
      <c r="AH4" s="5"/>
      <c r="AI4" s="5" t="s">
        <v>8</v>
      </c>
      <c r="AJ4" s="5"/>
      <c r="AK4" s="5" t="s">
        <v>9</v>
      </c>
      <c r="AL4" s="5"/>
      <c r="AM4" s="5" t="s">
        <v>10</v>
      </c>
      <c r="AN4" s="5"/>
      <c r="AO4" s="6" t="s">
        <v>11</v>
      </c>
      <c r="AP4" s="6" t="s">
        <v>12</v>
      </c>
      <c r="AQ4" s="7"/>
      <c r="AS4" s="5" t="s">
        <v>6</v>
      </c>
      <c r="AT4" s="5"/>
      <c r="AU4" s="5" t="s">
        <v>7</v>
      </c>
      <c r="AV4" s="5"/>
      <c r="AW4" s="5" t="s">
        <v>8</v>
      </c>
      <c r="AX4" s="5"/>
      <c r="AY4" s="5" t="s">
        <v>9</v>
      </c>
      <c r="AZ4" s="5"/>
      <c r="BA4" s="5" t="s">
        <v>10</v>
      </c>
      <c r="BB4" s="5"/>
      <c r="BC4" s="6" t="s">
        <v>11</v>
      </c>
      <c r="BD4" s="6" t="s">
        <v>12</v>
      </c>
      <c r="BE4" s="7"/>
    </row>
    <row r="5" spans="2:58" ht="18" customHeight="1" x14ac:dyDescent="0.25">
      <c r="C5" s="8"/>
      <c r="D5" s="9"/>
      <c r="E5" s="8"/>
      <c r="F5" s="9"/>
      <c r="G5" s="8"/>
      <c r="H5" s="9"/>
      <c r="I5" s="8"/>
      <c r="J5" s="9"/>
      <c r="K5" s="8"/>
      <c r="L5" s="9"/>
      <c r="M5" s="6"/>
      <c r="N5" s="10"/>
      <c r="O5" s="10"/>
      <c r="Q5" s="11">
        <v>1</v>
      </c>
      <c r="R5" s="11"/>
      <c r="S5" s="12">
        <v>2</v>
      </c>
      <c r="T5" s="12"/>
      <c r="U5" s="12">
        <v>3</v>
      </c>
      <c r="V5" s="12"/>
      <c r="W5" s="12">
        <v>4</v>
      </c>
      <c r="X5" s="12"/>
      <c r="Y5" s="12">
        <v>5</v>
      </c>
      <c r="Z5" s="12"/>
      <c r="AA5" s="13">
        <v>6</v>
      </c>
      <c r="AB5" s="13">
        <v>7</v>
      </c>
      <c r="AC5" s="14">
        <v>14</v>
      </c>
      <c r="AE5" s="3"/>
      <c r="AF5" s="4"/>
      <c r="AG5" s="3"/>
      <c r="AH5" s="4"/>
      <c r="AI5" s="3"/>
      <c r="AJ5" s="4"/>
      <c r="AK5" s="3"/>
      <c r="AL5" s="4"/>
      <c r="AM5" s="3"/>
      <c r="AN5" s="4"/>
      <c r="AO5" s="6"/>
      <c r="AP5" s="6"/>
      <c r="AQ5" s="7"/>
      <c r="AS5" s="3"/>
      <c r="AT5" s="4"/>
      <c r="AU5" s="3"/>
      <c r="AV5" s="4"/>
      <c r="AW5" s="3"/>
      <c r="AX5" s="4"/>
      <c r="AY5" s="3"/>
      <c r="AZ5" s="4"/>
      <c r="BA5" s="3"/>
      <c r="BB5" s="4"/>
      <c r="BC5" s="6"/>
      <c r="BD5" s="10"/>
      <c r="BE5" s="10"/>
    </row>
    <row r="6" spans="2:58" ht="18" customHeight="1" x14ac:dyDescent="0.25">
      <c r="C6" s="15">
        <f>IF(AND(YEAR(Ne1Led)=Rok,MONTH(Ne1Led)=1),Ne1Led, "")</f>
        <v>45292</v>
      </c>
      <c r="D6" s="15"/>
      <c r="E6" s="16">
        <f>IF(AND(YEAR(Ne1Led+1)=Rok,MONTH(Ne1Led+1)=1),Ne1Led+1, "")</f>
        <v>45293</v>
      </c>
      <c r="F6" s="16"/>
      <c r="G6" s="16">
        <f>IF(AND(YEAR(Ne1Led+2)=Rok,MONTH(Ne1Led+2)=1),Ne1Led+2, "")</f>
        <v>45294</v>
      </c>
      <c r="H6" s="16"/>
      <c r="I6" s="16">
        <f>IF(AND(YEAR(Ne1Led+3)=Rok,MONTH(Ne1Led+3)=1),Ne1Led+3, "")</f>
        <v>45295</v>
      </c>
      <c r="J6" s="16"/>
      <c r="K6" s="16">
        <f>IF(AND(YEAR(Ne1Led+4)=Rok,MONTH(Ne1Led+4)=1),Ne1Led+4, "")</f>
        <v>45296</v>
      </c>
      <c r="L6" s="16"/>
      <c r="M6" s="17">
        <f>IF(AND(YEAR(Ne1Led+5)=Rok,MONTH(Ne1Led+5)=1),Ne1Led+5, "")</f>
        <v>45297</v>
      </c>
      <c r="N6" s="17">
        <f>IF(AND(YEAR(Ne1Led+6)=Rok,MONTH(Ne1Led+6)=1),Ne1Led+6, "")</f>
        <v>45298</v>
      </c>
      <c r="O6" s="18">
        <v>1</v>
      </c>
      <c r="Q6" s="16">
        <f>IF(AND(YEAR(CV+7)=Rok,MONTH(CV+7)=4),CV+7, "")</f>
        <v>45390</v>
      </c>
      <c r="R6" s="16"/>
      <c r="S6" s="16">
        <f>IF(AND(YEAR(CV+8)=Rok,MONTH(CV+8)=4),CV+8, "")</f>
        <v>45391</v>
      </c>
      <c r="T6" s="16"/>
      <c r="U6" s="16">
        <f>IF(AND(YEAR(CV+9)=Rok,MONTH(CV+9)=4),CV+9, "")</f>
        <v>45392</v>
      </c>
      <c r="V6" s="16"/>
      <c r="W6" s="16">
        <f>IF(AND(YEAR(CV+10)=Rok,MONTH(CV+10)=4),CV+10, "")</f>
        <v>45393</v>
      </c>
      <c r="X6" s="16"/>
      <c r="Y6" s="16">
        <f>IF(AND(YEAR(CV+11)=Rok,MONTH(CV+11)=4),CV+11, "")</f>
        <v>45394</v>
      </c>
      <c r="Z6" s="16"/>
      <c r="AA6" s="17">
        <f>IF(AND(YEAR(CV+12)=Rok,MONTH(CV+12)=4),CV+12, "")</f>
        <v>45395</v>
      </c>
      <c r="AB6" s="17">
        <f>IF(AND(YEAR(CV+13)=Rok,MONTH(CV+13)=4),CV+13, "")</f>
        <v>45396</v>
      </c>
      <c r="AC6" s="18">
        <v>15</v>
      </c>
      <c r="AE6" s="19">
        <f>IF(AND(YEAR(Ne1Čvc)=Rok,MONTH(Ne1Čvc)=7),Ne1Čvc, "")</f>
        <v>45474</v>
      </c>
      <c r="AF6" s="19"/>
      <c r="AG6" s="16">
        <f>IF(AND(YEAR(Ne1Čvc+1)=Rok,MONTH(Ne1Čvc+1)=7),Ne1Čvc+1, "")</f>
        <v>45475</v>
      </c>
      <c r="AH6" s="16"/>
      <c r="AI6" s="16">
        <f>IF(AND(YEAR(Ne1Čvc+2)=Rok,MONTH(Ne1Čvc+2)=7),Ne1Čvc+2, "")</f>
        <v>45476</v>
      </c>
      <c r="AJ6" s="16"/>
      <c r="AK6" s="16">
        <f>IF(AND(YEAR(Ne1Čvc+3)=Rok,MONTH(Ne1Čvc+3)=7),Ne1Čvc+3, "")</f>
        <v>45477</v>
      </c>
      <c r="AL6" s="16"/>
      <c r="AM6" s="15">
        <f>IF(AND(YEAR(Ne1Čvc+4)=Rok,MONTH(Ne1Čvc+4)=7),Ne1Čvc+4, "")</f>
        <v>45478</v>
      </c>
      <c r="AN6" s="15"/>
      <c r="AO6" s="20">
        <f>IF(AND(YEAR(Ne1Čvc+5)=Rok,MONTH(Ne1Čvc+5)=7),Ne1Čvc+5, "")</f>
        <v>45479</v>
      </c>
      <c r="AP6" s="17">
        <f>IF(AND(YEAR(Ne1Čvc+6)=Rok,MONTH(Ne1Čvc+6)=7),Ne1Čvc+6, "")</f>
        <v>45480</v>
      </c>
      <c r="AQ6" s="18">
        <v>27</v>
      </c>
      <c r="AS6" s="21" t="str">
        <f>IF(AND(YEAR(Ne1Říj)=Rok,MONTH(Ne1Říj)=10),Ne1Říj, "")</f>
        <v/>
      </c>
      <c r="AT6" s="22"/>
      <c r="AU6" s="16">
        <f>IF(AND(YEAR(Ne1Říj+1)=Rok,MONTH(Ne1Říj+1)=10),Ne1Říj+1, "")</f>
        <v>45566</v>
      </c>
      <c r="AV6" s="16"/>
      <c r="AW6" s="16">
        <f>IF(AND(YEAR(Ne1Říj+2)=Rok,MONTH(Ne1Říj+2)=10),Ne1Říj+2, "")</f>
        <v>45567</v>
      </c>
      <c r="AX6" s="16"/>
      <c r="AY6" s="53">
        <f>IF(AND(YEAR(Ne1Říj+3)=Rok,MONTH(Ne1Říj+3)=10),Ne1Říj+3, "")</f>
        <v>45568</v>
      </c>
      <c r="AZ6" s="53"/>
      <c r="BA6" s="16">
        <f>IF(AND(YEAR(Ne1Říj+4)=Rok,MONTH(Ne1Říj+4)=10),Ne1Říj+4, "")</f>
        <v>45569</v>
      </c>
      <c r="BB6" s="16"/>
      <c r="BC6" s="17">
        <f>IF(AND(YEAR(Ne1Říj+5)=Rok,MONTH(Ne1Říj+5)=10),Ne1Říj+5, "")</f>
        <v>45570</v>
      </c>
      <c r="BD6" s="17">
        <f>IF(AND(YEAR(Ne1Říj+6)=Rok,MONTH(Ne1Říj+6)=10),Ne1Říj+6, "")</f>
        <v>45571</v>
      </c>
      <c r="BE6" s="23">
        <v>40</v>
      </c>
    </row>
    <row r="7" spans="2:58" ht="18" customHeight="1" x14ac:dyDescent="0.25">
      <c r="C7" s="16">
        <f>IF(AND(YEAR(Ne1Led+7)=Rok,MONTH(Ne1Led+7)=1),Ne1Led+7, "")</f>
        <v>45299</v>
      </c>
      <c r="D7" s="16"/>
      <c r="E7" s="16">
        <f>IF(AND(YEAR(Ne1Led+8)=Rok,MONTH(Ne1Led+8)=1),Ne1Led+8, "")</f>
        <v>45300</v>
      </c>
      <c r="F7" s="16"/>
      <c r="G7" s="16">
        <f>IF(AND(YEAR(Ne1Led+9)=Rok,MONTH(Ne1Led+9)=1),Ne1Led+9, "")</f>
        <v>45301</v>
      </c>
      <c r="H7" s="16"/>
      <c r="I7" s="16">
        <f>IF(AND(YEAR(Ne1Led+10)=Rok,MONTH(Ne1Led+10)=1),Ne1Led+10, "")</f>
        <v>45302</v>
      </c>
      <c r="J7" s="16"/>
      <c r="K7" s="16">
        <f>IF(AND(YEAR(Ne1Led+11)=Rok,MONTH(Ne1Led+11)=1),Ne1Led+11, "")</f>
        <v>45303</v>
      </c>
      <c r="L7" s="16"/>
      <c r="M7" s="17">
        <f>IF(AND(YEAR(Ne1Led+12)=Rok,MONTH(Ne1Led+12)=1),Ne1Led+12, "")</f>
        <v>45304</v>
      </c>
      <c r="N7" s="17">
        <f>IF(AND(YEAR(Ne1Led+13)=Rok,MONTH(Ne1Led+13)=1),Ne1Led+13, "")</f>
        <v>45305</v>
      </c>
      <c r="O7" s="18">
        <v>2</v>
      </c>
      <c r="Q7" s="16">
        <f>IF(AND(YEAR(CV+14)=Rok,MONTH(CV+14)=4),CV+14, "")</f>
        <v>45397</v>
      </c>
      <c r="R7" s="16"/>
      <c r="S7" s="16">
        <f>IF(AND(YEAR(CV+15)=Rok,MONTH(CV+15)=4),CV+15, "")</f>
        <v>45398</v>
      </c>
      <c r="T7" s="16"/>
      <c r="U7" s="16">
        <f>IF(AND(YEAR(CV+16)=Rok,MONTH(CV+16)=4),CV+16, "")</f>
        <v>45399</v>
      </c>
      <c r="V7" s="16"/>
      <c r="W7" s="16">
        <f>IF(AND(YEAR(CV+17)=Rok,MONTH(CV+17)=4),CV+17, "")</f>
        <v>45400</v>
      </c>
      <c r="X7" s="16"/>
      <c r="Y7" s="16">
        <f>IF(AND(YEAR(CV+18)=Rok,MONTH(CV+18)=4),CV+18, "")</f>
        <v>45401</v>
      </c>
      <c r="Z7" s="16"/>
      <c r="AA7" s="17">
        <f>IF(AND(YEAR(CV+19)=Rok,MONTH(CV+19)=4),CV+19, "")</f>
        <v>45402</v>
      </c>
      <c r="AB7" s="17">
        <f>IF(AND(YEAR(CV+20)=Rok,MONTH(CV+20)=4),CV+20, "")</f>
        <v>45403</v>
      </c>
      <c r="AC7" s="18">
        <v>16</v>
      </c>
      <c r="AE7" s="19">
        <f>IF(AND(YEAR(Ne1Čvc+7)=Rok,MONTH(Ne1Čvc+7)=7),Ne1Čvc+7, "")</f>
        <v>45481</v>
      </c>
      <c r="AF7" s="19"/>
      <c r="AG7" s="16">
        <f>IF(AND(YEAR(Ne1Čvc+8)=Rok,MONTH(Ne1Čvc+8)=7),Ne1Čvc+8, "")</f>
        <v>45482</v>
      </c>
      <c r="AH7" s="16"/>
      <c r="AI7" s="16">
        <f>IF(AND(YEAR(Ne1Čvc+9)=Rok,MONTH(Ne1Čvc+9)=7),Ne1Čvc+9, "")</f>
        <v>45483</v>
      </c>
      <c r="AJ7" s="16"/>
      <c r="AK7" s="53">
        <f>IF(AND(YEAR(Ne1Čvc+10)=Rok,MONTH(Ne1Čvc+10)=7),Ne1Čvc+10, "")</f>
        <v>45484</v>
      </c>
      <c r="AL7" s="53"/>
      <c r="AM7" s="16">
        <f>IF(AND(YEAR(Ne1Čvc+11)=Rok,MONTH(Ne1Čvc+11)=7),Ne1Čvc+11, "")</f>
        <v>45485</v>
      </c>
      <c r="AN7" s="16"/>
      <c r="AO7" s="17">
        <f>IF(AND(YEAR(Ne1Čvc+12)=Rok,MONTH(Ne1Čvc+12)=7),Ne1Čvc+12, "")</f>
        <v>45486</v>
      </c>
      <c r="AP7" s="17">
        <f>IF(AND(YEAR(Ne1Čvc+13)=Rok,MONTH(Ne1Čvc+13)=7),Ne1Čvc+13, "")</f>
        <v>45487</v>
      </c>
      <c r="AQ7" s="18">
        <v>28</v>
      </c>
      <c r="AS7" s="19">
        <f>IF(AND(YEAR(Ne1Říj+7)=Rok,MONTH(Ne1Říj+7)=10),Ne1Říj+7, "")</f>
        <v>45572</v>
      </c>
      <c r="AT7" s="19"/>
      <c r="AU7" s="24">
        <f>IF(AND(YEAR(Ne1Říj+8)=Rok,MONTH(Ne1Říj+8)=10),Ne1Říj+8, "")</f>
        <v>45573</v>
      </c>
      <c r="AV7" s="24"/>
      <c r="AW7" s="16">
        <f>IF(AND(YEAR(Ne1Říj+9)=Rok,MONTH(Ne1Říj+9)=10),Ne1Říj+9, "")</f>
        <v>45574</v>
      </c>
      <c r="AX7" s="16"/>
      <c r="AY7" s="16">
        <f>IF(AND(YEAR(Ne1Říj+10)=Rok,MONTH(Ne1Říj+10)=10),Ne1Říj+10, "")</f>
        <v>45575</v>
      </c>
      <c r="AZ7" s="16"/>
      <c r="BA7" s="16">
        <f>IF(AND(YEAR(Ne1Říj+11)=Rok,MONTH(Ne1Říj+11)=10),Ne1Říj+11, "")</f>
        <v>45576</v>
      </c>
      <c r="BB7" s="16"/>
      <c r="BC7" s="17">
        <f>IF(AND(YEAR(Ne1Říj+12)=Rok,MONTH(Ne1Říj+12)=10),Ne1Říj+12, "")</f>
        <v>45577</v>
      </c>
      <c r="BD7" s="17">
        <f>IF(AND(YEAR(Ne1Říj+13)=Rok,MONTH(Ne1Říj+13)=10),Ne1Říj+13, "")</f>
        <v>45578</v>
      </c>
      <c r="BE7" s="23">
        <v>41</v>
      </c>
    </row>
    <row r="8" spans="2:58" ht="18" customHeight="1" x14ac:dyDescent="0.25">
      <c r="C8" s="16">
        <f>IF(AND(YEAR(Ne1Led+14)=Rok,MONTH(Ne1Led+14)=1),Ne1Led+14, "")</f>
        <v>45306</v>
      </c>
      <c r="D8" s="16"/>
      <c r="E8" s="16">
        <f>IF(AND(YEAR(Ne1Led+15)=Rok,MONTH(Ne1Led+15)=1),Ne1Led+15, "")</f>
        <v>45307</v>
      </c>
      <c r="F8" s="16"/>
      <c r="G8" s="16">
        <f>IF(AND(YEAR(Ne1Led+16)=Rok,MONTH(Ne1Led+16)=1),Ne1Led+16, "")</f>
        <v>45308</v>
      </c>
      <c r="H8" s="16"/>
      <c r="I8" s="16">
        <f>IF(AND(YEAR(Ne1Led+17)=Rok,MONTH(Ne1Led+17)=1),Ne1Led+17, "")</f>
        <v>45309</v>
      </c>
      <c r="J8" s="16"/>
      <c r="K8" s="16">
        <f>IF(AND(YEAR(Ne1Led+18)=Rok,MONTH(Ne1Led+18)=1),Ne1Led+18, "")</f>
        <v>45310</v>
      </c>
      <c r="L8" s="16"/>
      <c r="M8" s="17">
        <f>IF(AND(YEAR(Ne1Led+19)=Rok,MONTH(Ne1Led+19)=1),Ne1Led+19, "")</f>
        <v>45311</v>
      </c>
      <c r="N8" s="17">
        <f>IF(AND(YEAR(Ne1Led+20)=Rok,MONTH(Ne1Led+20)=1),Ne1Led+20, "")</f>
        <v>45312</v>
      </c>
      <c r="O8" s="18">
        <v>3</v>
      </c>
      <c r="Q8" s="16">
        <f>IF(AND(YEAR(CV+21)=Rok,MONTH(CV+21)=4),CV+21, "")</f>
        <v>45404</v>
      </c>
      <c r="R8" s="16"/>
      <c r="S8" s="16">
        <f>IF(AND(YEAR(CV+22)=Rok,MONTH(CV+22)=4),CV+22, "")</f>
        <v>45405</v>
      </c>
      <c r="T8" s="16"/>
      <c r="U8" s="16">
        <f>IF(AND(YEAR(CV+23)=Rok,MONTH(CV+23)=4),CV+23, "")</f>
        <v>45406</v>
      </c>
      <c r="V8" s="16"/>
      <c r="W8" s="16">
        <f>IF(AND(YEAR(CV+24)=Rok,MONTH(CV+24)=4),CV+24, "")</f>
        <v>45407</v>
      </c>
      <c r="X8" s="16"/>
      <c r="Y8" s="16">
        <f>IF(AND(YEAR(CV+25)=Rok,MONTH(CV+25)=4),CV+25, "")</f>
        <v>45408</v>
      </c>
      <c r="Z8" s="16"/>
      <c r="AA8" s="17">
        <f>IF(AND(YEAR(CV+26)=Rok,MONTH(CV+26)=4),CV+26, "")</f>
        <v>45409</v>
      </c>
      <c r="AB8" s="17">
        <f>IF(AND(YEAR(CV+27)=Rok,MONTH(CV+27)=4),CV+27, "")</f>
        <v>45410</v>
      </c>
      <c r="AC8" s="18">
        <v>17</v>
      </c>
      <c r="AE8" s="19">
        <f>IF(AND(YEAR(Ne1Čvc+14)=Rok,MONTH(Ne1Čvc+14)=7),Ne1Čvc+14, "")</f>
        <v>45488</v>
      </c>
      <c r="AF8" s="19"/>
      <c r="AG8" s="24">
        <f>IF(AND(YEAR(Ne1Čvc+15)=Rok,MONTH(Ne1Čvc+15)=7),Ne1Čvc+15, "")</f>
        <v>45489</v>
      </c>
      <c r="AH8" s="24"/>
      <c r="AI8" s="16">
        <f>IF(AND(YEAR(Ne1Čvc+16)=Rok,MONTH(Ne1Čvc+16)=7),Ne1Čvc+16, "")</f>
        <v>45490</v>
      </c>
      <c r="AJ8" s="16"/>
      <c r="AK8" s="16">
        <f>IF(AND(YEAR(Ne1Čvc+17)=Rok,MONTH(Ne1Čvc+17)=7),Ne1Čvc+17, "")</f>
        <v>45491</v>
      </c>
      <c r="AL8" s="16"/>
      <c r="AM8" s="16">
        <f>IF(AND(YEAR(Ne1Čvc+18)=Rok,MONTH(Ne1Čvc+18)=7),Ne1Čvc+18, "")</f>
        <v>45492</v>
      </c>
      <c r="AN8" s="16"/>
      <c r="AO8" s="17">
        <f>IF(AND(YEAR(Ne1Čvc+19)=Rok,MONTH(Ne1Čvc+19)=7),Ne1Čvc+19, "")</f>
        <v>45493</v>
      </c>
      <c r="AP8" s="17">
        <f>IF(AND(YEAR(Ne1Čvc+20)=Rok,MONTH(Ne1Čvc+20)=7),Ne1Čvc+20, "")</f>
        <v>45494</v>
      </c>
      <c r="AQ8" s="18">
        <v>29</v>
      </c>
      <c r="AS8" s="19">
        <f>IF(AND(YEAR(Ne1Říj+14)=Rok,MONTH(Ne1Říj+14)=10),Ne1Říj+14, "")</f>
        <v>45579</v>
      </c>
      <c r="AT8" s="19"/>
      <c r="AU8" s="16">
        <f>IF(AND(YEAR(Ne1Říj+15)=Rok,MONTH(Ne1Říj+15)=10),Ne1Říj+15, "")</f>
        <v>45580</v>
      </c>
      <c r="AV8" s="16"/>
      <c r="AW8" s="16">
        <f>IF(AND(YEAR(Ne1Říj+16)=Rok,MONTH(Ne1Říj+16)=10),Ne1Říj+16, "")</f>
        <v>45581</v>
      </c>
      <c r="AX8" s="16"/>
      <c r="AY8" s="16">
        <f>IF(AND(YEAR(Ne1Říj+17)=Rok,MONTH(Ne1Říj+17)=10),Ne1Říj+17, "")</f>
        <v>45582</v>
      </c>
      <c r="AZ8" s="16"/>
      <c r="BA8" s="16">
        <f>IF(AND(YEAR(Ne1Říj+18)=Rok,MONTH(Ne1Říj+18)=10),Ne1Říj+18, "")</f>
        <v>45583</v>
      </c>
      <c r="BB8" s="16"/>
      <c r="BC8" s="17">
        <f>IF(AND(YEAR(Ne1Říj+19)=Rok,MONTH(Ne1Říj+19)=10),Ne1Říj+19, "")</f>
        <v>45584</v>
      </c>
      <c r="BD8" s="17">
        <f>IF(AND(YEAR(Ne1Říj+20)=Rok,MONTH(Ne1Říj+20)=10),Ne1Říj+20, "")</f>
        <v>45585</v>
      </c>
      <c r="BE8" s="23">
        <v>42</v>
      </c>
    </row>
    <row r="9" spans="2:58" ht="18" customHeight="1" thickBot="1" x14ac:dyDescent="0.3">
      <c r="C9" s="16">
        <f>IF(AND(YEAR(Ne1Led+21)=Rok,MONTH(Ne1Led+21)=1),Ne1Led+21, "")</f>
        <v>45313</v>
      </c>
      <c r="D9" s="16"/>
      <c r="E9" s="16">
        <f>IF(AND(YEAR(Ne1Led+22)=Rok,MONTH(Ne1Led+22)=1),Ne1Led+22, "")</f>
        <v>45314</v>
      </c>
      <c r="F9" s="16"/>
      <c r="G9" s="16">
        <f>IF(AND(YEAR(Ne1Led+23)=Rok,MONTH(Ne1Led+23)=1),Ne1Led+23, "")</f>
        <v>45315</v>
      </c>
      <c r="H9" s="16"/>
      <c r="I9" s="16">
        <f>IF(AND(YEAR(Ne1Led+24)=Rok,MONTH(Ne1Led+24)=1),Ne1Led+24, "")</f>
        <v>45316</v>
      </c>
      <c r="J9" s="16"/>
      <c r="K9" s="16">
        <f>IF(AND(YEAR(Ne1Led+25)=Rok,MONTH(Ne1Led+25)=1),Ne1Led+25, "")</f>
        <v>45317</v>
      </c>
      <c r="L9" s="16"/>
      <c r="M9" s="17">
        <f>IF(AND(YEAR(Ne1Led+26)=Rok,MONTH(Ne1Led+26)=1),Ne1Led+26, "")</f>
        <v>45318</v>
      </c>
      <c r="N9" s="17">
        <f>IF(AND(YEAR(Ne1Led+27)=Rok,MONTH(Ne1Led+27)=1),Ne1Led+27, "")</f>
        <v>45319</v>
      </c>
      <c r="O9" s="18">
        <v>4</v>
      </c>
      <c r="Q9" s="16">
        <f>IF(AND(YEAR(CV+28)=Rok,MONTH(CV+28)=4),CV+28, "")</f>
        <v>45411</v>
      </c>
      <c r="R9" s="16"/>
      <c r="S9" s="16">
        <f>IF(AND(YEAR(CV+29)=Rok,MONTH(CV+29)=4),CV+29, "")</f>
        <v>45412</v>
      </c>
      <c r="T9" s="16"/>
      <c r="U9" s="25" t="str">
        <f>IF(AND(YEAR(CV+30)=Rok,MONTH(CV+30)=4),CV+30, "")</f>
        <v/>
      </c>
      <c r="V9" s="26"/>
      <c r="W9" s="25" t="str">
        <f>IF(AND(YEAR(CV+31)=Rok,MONTH(CV+31)=4),CV+31, "")</f>
        <v/>
      </c>
      <c r="X9" s="26"/>
      <c r="Y9" s="25" t="str">
        <f>IF(AND(YEAR(CV+32)=Rok,MONTH(CV+32)=4),CV+32, "")</f>
        <v/>
      </c>
      <c r="Z9" s="26"/>
      <c r="AA9" s="27" t="str">
        <f>IF(AND(YEAR(CV+33)=Rok,MONTH(CV+33)=4),CV+33, "")</f>
        <v/>
      </c>
      <c r="AB9" s="27" t="str">
        <f>IF(AND(YEAR(CV+34)=Rok,MONTH(CV+34)=4),CV+34, "")</f>
        <v/>
      </c>
      <c r="AC9" s="18">
        <v>18</v>
      </c>
      <c r="AE9" s="19">
        <f>IF(AND(YEAR(Ne1Čvc+21)=Rok,MONTH(Ne1Čvc+21)=7),Ne1Čvc+21, "")</f>
        <v>45495</v>
      </c>
      <c r="AF9" s="19"/>
      <c r="AG9" s="16">
        <f>IF(AND(YEAR(Ne1Čvc+22)=Rok,MONTH(Ne1Čvc+22)=7),Ne1Čvc+22, "")</f>
        <v>45496</v>
      </c>
      <c r="AH9" s="16"/>
      <c r="AI9" s="16">
        <f>IF(AND(YEAR(Ne1Čvc+23)=Rok,MONTH(Ne1Čvc+23)=7),Ne1Čvc+23, "")</f>
        <v>45497</v>
      </c>
      <c r="AJ9" s="16"/>
      <c r="AK9" s="16">
        <f>IF(AND(YEAR(Ne1Čvc+24)=Rok,MONTH(Ne1Čvc+24)=7),Ne1Čvc+24, "")</f>
        <v>45498</v>
      </c>
      <c r="AL9" s="16"/>
      <c r="AM9" s="16">
        <f>IF(AND(YEAR(Ne1Čvc+25)=Rok,MONTH(Ne1Čvc+25)=7),Ne1Čvc+25, "")</f>
        <v>45499</v>
      </c>
      <c r="AN9" s="16"/>
      <c r="AO9" s="17">
        <f>IF(AND(YEAR(Ne1Čvc+26)=Rok,MONTH(Ne1Čvc+26)=7),Ne1Čvc+26, "")</f>
        <v>45500</v>
      </c>
      <c r="AP9" s="17">
        <f>IF(AND(YEAR(Ne1Čvc+27)=Rok,MONTH(Ne1Čvc+27)=7),Ne1Čvc+27, "")</f>
        <v>45501</v>
      </c>
      <c r="AQ9" s="18">
        <v>30</v>
      </c>
      <c r="AS9" s="28">
        <f>IF(AND(YEAR(Ne1Říj+21)=Rok,MONTH(Ne1Říj+21)=10),Ne1Říj+21, "")</f>
        <v>45586</v>
      </c>
      <c r="AT9" s="28"/>
      <c r="AU9" s="16">
        <f>IF(AND(YEAR(Ne1Říj+22)=Rok,MONTH(Ne1Říj+22)=10),Ne1Říj+22, "")</f>
        <v>45587</v>
      </c>
      <c r="AV9" s="16"/>
      <c r="AW9" s="16">
        <f>IF(AND(YEAR(Ne1Říj+23)=Rok,MONTH(Ne1Říj+23)=10),Ne1Říj+23, "")</f>
        <v>45588</v>
      </c>
      <c r="AX9" s="16"/>
      <c r="AY9" s="16">
        <f>IF(AND(YEAR(Ne1Říj+24)=Rok,MONTH(Ne1Říj+24)=10),Ne1Říj+24, "")</f>
        <v>45589</v>
      </c>
      <c r="AZ9" s="16"/>
      <c r="BA9" s="16">
        <f>IF(AND(YEAR(Ne1Říj+25)=Rok,MONTH(Ne1Říj+25)=10),Ne1Říj+25, "")</f>
        <v>45590</v>
      </c>
      <c r="BB9" s="16"/>
      <c r="BC9" s="17">
        <f>IF(AND(YEAR(Ne1Říj+26)=Rok,MONTH(Ne1Říj+26)=10),Ne1Říj+26, "")</f>
        <v>45591</v>
      </c>
      <c r="BD9" s="17">
        <f>IF(AND(YEAR(Ne1Říj+27)=Rok,MONTH(Ne1Říj+27)=10),Ne1Říj+27, "")</f>
        <v>45592</v>
      </c>
      <c r="BE9" s="23">
        <v>43</v>
      </c>
    </row>
    <row r="10" spans="2:58" ht="18" customHeight="1" thickTop="1" thickBot="1" x14ac:dyDescent="0.3">
      <c r="C10" s="29">
        <f>IF(AND(YEAR(Ne1Led+28)=Rok,MONTH(Ne1Led+28)=1),Ne1Led+28, "")</f>
        <v>45320</v>
      </c>
      <c r="D10" s="29"/>
      <c r="E10" s="29">
        <f>IF(AND(YEAR(Ne1Led+29)=Rok,MONTH(Ne1Led+29)=1),Ne1Led+29, "")</f>
        <v>45321</v>
      </c>
      <c r="F10" s="29"/>
      <c r="G10" s="29">
        <f>IF(AND(YEAR(Ne1Led+30)=Rok,MONTH(Ne1Led+30)=1),Ne1Led+30, "")</f>
        <v>45322</v>
      </c>
      <c r="H10" s="29"/>
      <c r="I10" s="21" t="str">
        <f>IF(AND(YEAR(Ne1Led+31)=Rok,MONTH(Ne1Led+31)=1),Ne1Led+31, "")</f>
        <v/>
      </c>
      <c r="J10" s="22"/>
      <c r="K10" s="21" t="str">
        <f>IF(AND(YEAR(Ne1Led+32)=Rok,MONTH(Ne1Led+32)=1),Ne1Led+32, "")</f>
        <v/>
      </c>
      <c r="L10" s="22"/>
      <c r="M10" s="30" t="str">
        <f>IF(AND(YEAR(Ne1Led+33)=Rok,MONTH(Ne1Led+33)=1),Ne1Led+33, "")</f>
        <v/>
      </c>
      <c r="N10" s="30" t="str">
        <f>IF(AND(YEAR(Ne1Led+34)=Rok,MONTH(Ne1Led+34)=1),Ne1Led+34, "")</f>
        <v/>
      </c>
      <c r="O10" s="18">
        <v>5</v>
      </c>
      <c r="Q10" s="31" t="str">
        <f>IF(AND(YEAR(CV+35)=Rok,MONTH(CV+35)=4),CV+35, "")</f>
        <v/>
      </c>
      <c r="R10" s="32"/>
      <c r="S10" s="31" t="str">
        <f>IF(AND(YEAR(CV+36)=Rok,MONTH(CV+36)=4),CV+36, "")</f>
        <v/>
      </c>
      <c r="T10" s="32"/>
      <c r="U10" s="31" t="str">
        <f>IF(AND(YEAR(CV+37)=Rok,MONTH(CV+37)=4),CV+37, "")</f>
        <v/>
      </c>
      <c r="V10" s="32"/>
      <c r="W10" s="31" t="str">
        <f>IF(AND(YEAR(CV+38)=Rok,MONTH(CV+38)=4),CV+38, "")</f>
        <v/>
      </c>
      <c r="X10" s="32"/>
      <c r="Y10" s="31" t="str">
        <f>IF(AND(YEAR(CV+39)=Rok,MONTH(CV+39)=4),CV+39, "")</f>
        <v/>
      </c>
      <c r="Z10" s="32"/>
      <c r="AA10" s="30" t="str">
        <f>IF(AND(YEAR(CV+40)=Rok,MONTH(CV+40)=4),CV+40, "")</f>
        <v/>
      </c>
      <c r="AB10" s="30" t="str">
        <f>IF(AND(YEAR(CV+41)=Rok,MONTH(CV+41)=4),CV+41, "")</f>
        <v/>
      </c>
      <c r="AC10" s="27"/>
      <c r="AE10" s="19">
        <f>IF(AND(YEAR(Ne1Čvc+28)=Rok,MONTH(Ne1Čvc+28)=7),Ne1Čvc+28, "")</f>
        <v>45502</v>
      </c>
      <c r="AF10" s="19"/>
      <c r="AG10" s="16">
        <f>IF(AND(YEAR(Ne1Čvc+29)=Rok,MONTH(Ne1Čvc+29)=7),Ne1Čvc+29, "")</f>
        <v>45503</v>
      </c>
      <c r="AH10" s="16"/>
      <c r="AI10" s="16">
        <f>IF(AND(YEAR(Ne1Čvc+30)=Rok,MONTH(Ne1Čvc+30)=7),Ne1Čvc+30, "")</f>
        <v>45504</v>
      </c>
      <c r="AJ10" s="16"/>
      <c r="AK10" s="25" t="str">
        <f>IF(AND(YEAR(Ne1Čvc+31)=Rok,MONTH(Ne1Čvc+31)=7),Ne1Čvc+31, "")</f>
        <v/>
      </c>
      <c r="AL10" s="26"/>
      <c r="AM10" s="25" t="str">
        <f>IF(AND(YEAR(Ne1Čvc+32)=Rok,MONTH(Ne1Čvc+32)=7),Ne1Čvc+32, "")</f>
        <v/>
      </c>
      <c r="AN10" s="26"/>
      <c r="AO10" s="27" t="str">
        <f>IF(AND(YEAR(Ne1Čvc+33)=Rok,MONTH(Ne1Čvc+33)=7),Ne1Čvc+33, "")</f>
        <v/>
      </c>
      <c r="AP10" s="27" t="str">
        <f>IF(AND(YEAR(Ne1Čvc+34)=Rok,MONTH(Ne1Čvc+34)=7),Ne1Čvc+34, "")</f>
        <v/>
      </c>
      <c r="AQ10" s="18">
        <v>31</v>
      </c>
      <c r="AS10" s="33">
        <f>IF(AND(YEAR(Ne1Říj+28)=Rok,MONTH(Ne1Říj+28)=10),Ne1Říj+28, "")</f>
        <v>45593</v>
      </c>
      <c r="AT10" s="34"/>
      <c r="AU10" s="35">
        <f>IF(AND(YEAR(Ne1Říj+29)=Rok,MONTH(Ne1Říj+29)=10),Ne1Říj+29, "")</f>
        <v>45594</v>
      </c>
      <c r="AV10" s="24"/>
      <c r="AW10" s="16">
        <f>IF(AND(YEAR(Ne1Říj+30)=Rok,MONTH(Ne1Říj+30)=10),Ne1Říj+30, "")</f>
        <v>45595</v>
      </c>
      <c r="AX10" s="16"/>
      <c r="AY10" s="53">
        <f>IF(AND(YEAR(Ne1Říj+31)=Rok,MONTH(Ne1Říj+31)=10),Ne1Říj+31, "")</f>
        <v>45596</v>
      </c>
      <c r="AZ10" s="53"/>
      <c r="BA10" s="21" t="str">
        <f>IF(AND(YEAR(Ne1Říj+32)=Rok,MONTH(Ne1Říj+32)=10),Ne1Říj+32, "")</f>
        <v/>
      </c>
      <c r="BB10" s="22"/>
      <c r="BC10" s="30" t="str">
        <f>IF(AND(YEAR(Ne1Říj+33)=Rok,MONTH(Ne1Říj+33)=10),Ne1Říj+33, "")</f>
        <v/>
      </c>
      <c r="BD10" s="30" t="str">
        <f>IF(AND(YEAR(Ne1Říj+34)=Rok,MONTH(Ne1Říj+34)=10),Ne1Říj+34, "")</f>
        <v/>
      </c>
      <c r="BE10" s="23">
        <v>44</v>
      </c>
    </row>
    <row r="11" spans="2:58" ht="18" customHeight="1" thickTop="1" x14ac:dyDescent="0.25">
      <c r="C11" s="31" t="str">
        <f>IF(AND(YEAR(Ne1Led+35)=Rok,MONTH(Ne1Led+35)=1),Ne1Led+35, "")</f>
        <v/>
      </c>
      <c r="D11" s="32"/>
      <c r="E11" s="31" t="str">
        <f>IF(AND(YEAR(Ne1Led+36)=Rok,MONTH(Ne1Led+36)=1),Ne1Led+36, "")</f>
        <v/>
      </c>
      <c r="F11" s="32"/>
      <c r="G11" s="31" t="str">
        <f>IF(AND(YEAR(Ne1Led+37)=Rok,MONTH(Ne1Led+37)=1),Ne1Led+37, "")</f>
        <v/>
      </c>
      <c r="H11" s="32"/>
      <c r="I11" s="31" t="str">
        <f>IF(AND(YEAR(Ne1Led+38)=Rok,MONTH(Ne1Led+38)=1),Ne1Led+38, "")</f>
        <v/>
      </c>
      <c r="J11" s="32"/>
      <c r="K11" s="31" t="str">
        <f>IF(AND(YEAR(Ne1Led+39)=Rok,MONTH(Ne1Led+39)=1),Ne1Led+39, "")</f>
        <v/>
      </c>
      <c r="L11" s="32"/>
      <c r="M11" s="30" t="str">
        <f>IF(AND(YEAR(Ne1Led+40)=Rok,MONTH(Ne1Led+40)=1),Ne1Led+40, "")</f>
        <v/>
      </c>
      <c r="N11" s="30" t="str">
        <f>IF(AND(YEAR(Ne1Led+41)=Rok,MONTH(Ne1Led+41)=1),Ne1Led+41, "")</f>
        <v/>
      </c>
      <c r="O11" s="27"/>
      <c r="Q11" s="31" t="str">
        <f>IF(AND(YEAR(CV+35)=Rok,MONTH(CV+35)=4),CV+35, "")</f>
        <v/>
      </c>
      <c r="R11" s="32"/>
      <c r="S11" s="31" t="str">
        <f>IF(AND(YEAR(CV+36)=Rok,MONTH(CV+36)=4),CV+36, "")</f>
        <v/>
      </c>
      <c r="T11" s="32"/>
      <c r="U11" s="31" t="str">
        <f>IF(AND(YEAR(CV+37)=Rok,MONTH(CV+37)=4),CV+37, "")</f>
        <v/>
      </c>
      <c r="V11" s="32"/>
      <c r="W11" s="31" t="str">
        <f>IF(AND(YEAR(CV+38)=Rok,MONTH(CV+38)=4),CV+38, "")</f>
        <v/>
      </c>
      <c r="X11" s="32"/>
      <c r="Y11" s="31" t="str">
        <f>IF(AND(YEAR(CV+39)=Rok,MONTH(CV+39)=4),CV+39, "")</f>
        <v/>
      </c>
      <c r="Z11" s="32"/>
      <c r="AA11" s="30" t="str">
        <f>IF(AND(YEAR(CV+40)=Rok,MONTH(CV+40)=4),CV+40, "")</f>
        <v/>
      </c>
      <c r="AB11" s="30" t="str">
        <f>IF(AND(YEAR(CV+41)=Rok,MONTH(CV+41)=4),CV+41, "")</f>
        <v/>
      </c>
      <c r="AC11" s="27"/>
      <c r="AE11" s="31" t="str">
        <f>IF(AND(YEAR(Ne1Čvc+35)=Rok,MONTH(Ne1Čvc+35)=7),Ne1Čvc+35, "")</f>
        <v/>
      </c>
      <c r="AF11" s="32"/>
      <c r="AG11" s="31" t="str">
        <f>IF(AND(YEAR(Ne1Čvc+36)=Rok,MONTH(Ne1Čvc+36)=7),Ne1Čvc+36, "")</f>
        <v/>
      </c>
      <c r="AH11" s="36"/>
      <c r="AI11" s="37" t="str">
        <f>IF(AND(YEAR(Ne1Čvc+37)=Rok,MONTH(Ne1Čvc+37)=7),Ne1Čvc+37, "")</f>
        <v/>
      </c>
      <c r="AJ11" s="36"/>
      <c r="AK11" s="37" t="str">
        <f>IF(AND(YEAR(Ne1Čvc+38)=Rok,MONTH(Ne1Čvc+38)=7),Ne1Čvc+38, "")</f>
        <v/>
      </c>
      <c r="AL11" s="36"/>
      <c r="AM11" s="31" t="str">
        <f>IF(AND(YEAR(Ne1Čvc+39)=Rok,MONTH(Ne1Čvc+39)=7),Ne1Čvc+39, "")</f>
        <v/>
      </c>
      <c r="AN11" s="32"/>
      <c r="AO11" s="30" t="str">
        <f>IF(AND(YEAR(Ne1Čvc+40)=Rok,MONTH(Ne1Čvc+40)=7),Ne1Čvc+40, "")</f>
        <v/>
      </c>
      <c r="AP11" s="30" t="str">
        <f>IF(AND(YEAR(Ne1Čvc+41)=Rok,MONTH(Ne1Čvc+41)=7),Ne1Čvc+41, "")</f>
        <v/>
      </c>
      <c r="AQ11" s="27"/>
      <c r="AS11" s="38" t="str">
        <f>IF(AND(YEAR(Ne1Říj+35)=Rok,MONTH(Ne1Říj+35)=10),Ne1Říj+35, "")</f>
        <v/>
      </c>
      <c r="AT11" s="39"/>
      <c r="AU11" s="21" t="str">
        <f>IF(AND(YEAR(Ne1Říj+36)=Rok,MONTH(Ne1Říj+36)=10),Ne1Říj+36, "")</f>
        <v/>
      </c>
      <c r="AV11" s="22"/>
      <c r="AW11" s="21" t="str">
        <f>IF(AND(YEAR(Ne1Říj+37)=Rok,MONTH(Ne1Říj+37)=10),Ne1Říj+37, "")</f>
        <v/>
      </c>
      <c r="AX11" s="22"/>
      <c r="AY11" s="21" t="str">
        <f>IF(AND(YEAR(Ne1Říj+38)=Rok,MONTH(Ne1Říj+38)=10),Ne1Říj+38, "")</f>
        <v/>
      </c>
      <c r="AZ11" s="22"/>
      <c r="BA11" s="21" t="str">
        <f>IF(AND(YEAR(Ne1Říj+39)=Rok,MONTH(Ne1Říj+39)=10),Ne1Říj+39, "")</f>
        <v/>
      </c>
      <c r="BB11" s="22"/>
      <c r="BC11" s="30" t="str">
        <f>IF(AND(YEAR(Ne1Říj+40)=Rok,MONTH(Ne1Říj+40)=10),Ne1Říj+40, "")</f>
        <v/>
      </c>
      <c r="BD11" s="30" t="str">
        <f>IF(AND(YEAR(Ne1Říj+41)=Rok,MONTH(Ne1Říj+41)=10),Ne1Říj+41, "")</f>
        <v/>
      </c>
      <c r="BE11" s="40"/>
    </row>
    <row r="13" spans="2:58" ht="18" customHeight="1" thickBot="1" x14ac:dyDescent="0.3">
      <c r="C13" s="54" t="s">
        <v>13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" t="s">
        <v>2</v>
      </c>
      <c r="Q13" s="54" t="s">
        <v>14</v>
      </c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2" t="s">
        <v>2</v>
      </c>
      <c r="AE13" s="54" t="s">
        <v>15</v>
      </c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2" t="s">
        <v>2</v>
      </c>
      <c r="AS13" s="54" t="s">
        <v>16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2" t="s">
        <v>2</v>
      </c>
    </row>
    <row r="14" spans="2:58" ht="18" customHeight="1" thickTop="1" x14ac:dyDescent="0.25">
      <c r="C14" s="5" t="s">
        <v>6</v>
      </c>
      <c r="D14" s="5"/>
      <c r="E14" s="5" t="s">
        <v>7</v>
      </c>
      <c r="F14" s="5"/>
      <c r="G14" s="5" t="s">
        <v>8</v>
      </c>
      <c r="H14" s="5"/>
      <c r="I14" s="5" t="s">
        <v>9</v>
      </c>
      <c r="J14" s="5"/>
      <c r="K14" s="5" t="s">
        <v>10</v>
      </c>
      <c r="L14" s="5"/>
      <c r="M14" s="6" t="s">
        <v>11</v>
      </c>
      <c r="N14" s="6" t="s">
        <v>12</v>
      </c>
      <c r="O14" s="6"/>
      <c r="Q14" s="5" t="s">
        <v>6</v>
      </c>
      <c r="R14" s="5"/>
      <c r="S14" s="5" t="s">
        <v>7</v>
      </c>
      <c r="T14" s="5"/>
      <c r="U14" s="5" t="s">
        <v>8</v>
      </c>
      <c r="V14" s="5"/>
      <c r="W14" s="5" t="s">
        <v>9</v>
      </c>
      <c r="X14" s="5"/>
      <c r="Y14" s="5" t="s">
        <v>10</v>
      </c>
      <c r="Z14" s="5"/>
      <c r="AA14" s="6" t="s">
        <v>11</v>
      </c>
      <c r="AB14" s="6" t="s">
        <v>12</v>
      </c>
      <c r="AC14" s="6"/>
      <c r="AE14" s="5" t="s">
        <v>6</v>
      </c>
      <c r="AF14" s="5"/>
      <c r="AG14" s="5" t="s">
        <v>7</v>
      </c>
      <c r="AH14" s="5"/>
      <c r="AI14" s="5" t="s">
        <v>8</v>
      </c>
      <c r="AJ14" s="5"/>
      <c r="AK14" s="5" t="s">
        <v>9</v>
      </c>
      <c r="AL14" s="5"/>
      <c r="AM14" s="5" t="s">
        <v>10</v>
      </c>
      <c r="AN14" s="5"/>
      <c r="AO14" s="6" t="s">
        <v>11</v>
      </c>
      <c r="AP14" s="6" t="s">
        <v>12</v>
      </c>
      <c r="AQ14" s="6"/>
      <c r="AS14" s="5" t="s">
        <v>6</v>
      </c>
      <c r="AT14" s="5"/>
      <c r="AU14" s="5" t="s">
        <v>7</v>
      </c>
      <c r="AV14" s="5"/>
      <c r="AW14" s="5" t="s">
        <v>8</v>
      </c>
      <c r="AX14" s="5"/>
      <c r="AY14" s="5" t="s">
        <v>9</v>
      </c>
      <c r="AZ14" s="5"/>
      <c r="BA14" s="5" t="s">
        <v>10</v>
      </c>
      <c r="BB14" s="5"/>
      <c r="BC14" s="6" t="s">
        <v>11</v>
      </c>
      <c r="BD14" s="6" t="s">
        <v>12</v>
      </c>
      <c r="BE14" s="6"/>
    </row>
    <row r="15" spans="2:58" ht="18" customHeight="1" x14ac:dyDescent="0.25">
      <c r="C15" s="25" t="str">
        <f>IF(AND(YEAR(CC)=Rok,MONTH(CC)=2),CC, "")</f>
        <v/>
      </c>
      <c r="D15" s="26"/>
      <c r="E15" s="25" t="str">
        <f>IF(AND(YEAR(CC+1)=Rok,MONTH(CC+1)=2),CC+1, "")</f>
        <v/>
      </c>
      <c r="F15" s="26"/>
      <c r="G15" s="25" t="str">
        <f>IF(AND(YEAR(CC+2)=Rok,MONTH(CC+2)=2),CC+2, "")</f>
        <v/>
      </c>
      <c r="H15" s="26"/>
      <c r="I15" s="16">
        <f>IF(AND(YEAR(CC+3)=Rok,MONTH(CC+3)=2),CC+3, "")</f>
        <v>45323</v>
      </c>
      <c r="J15" s="16"/>
      <c r="K15" s="16">
        <f>IF(AND(YEAR(CC+4)=Rok,MONTH(CC+4)=2),CC+4, "")</f>
        <v>45324</v>
      </c>
      <c r="L15" s="16"/>
      <c r="M15" s="17">
        <f>IF(AND(YEAR(CC+5)=Rok,MONTH(CC+5)=2),CC+5, "")</f>
        <v>45325</v>
      </c>
      <c r="N15" s="17">
        <f>IF(AND(YEAR(CC+6)=Rok,MONTH(CC+6)=2),CC+6, "")</f>
        <v>45326</v>
      </c>
      <c r="O15" s="18">
        <v>5</v>
      </c>
      <c r="Q15" s="25" t="str">
        <f>IF(AND(YEAR(cvi)=Rok,MONTH(cvi)=5),cvi, "")</f>
        <v/>
      </c>
      <c r="R15" s="26"/>
      <c r="S15" s="25" t="str">
        <f>IF(AND(YEAR(cvi+1)=Rok,MONTH(cvi+1)=5),cvi+1, "")</f>
        <v/>
      </c>
      <c r="T15" s="26"/>
      <c r="U15" s="15">
        <f>IF(AND(YEAR(cvi+2)=Rok,MONTH(cvi+2)=5),cvi+2, "")</f>
        <v>45413</v>
      </c>
      <c r="V15" s="15"/>
      <c r="W15" s="16">
        <f>IF(AND(YEAR(cvi+3)=Rok,MONTH(cvi+3)=5),cvi+3, "")</f>
        <v>45414</v>
      </c>
      <c r="X15" s="16"/>
      <c r="Y15" s="16">
        <f>IF(AND(YEAR(cvi+4)=Rok,MONTH(cvi+4)=5),cvi+4, "")</f>
        <v>45415</v>
      </c>
      <c r="Z15" s="16"/>
      <c r="AA15" s="17">
        <f>IF(AND(YEAR(cvi+5)=Rok,MONTH(cvi+5)=5),cvi+5, "")</f>
        <v>45416</v>
      </c>
      <c r="AB15" s="17">
        <f>IF(AND(YEAR(cvi+6)=Rok,MONTH(cvi+6)=5),cvi+6, "")</f>
        <v>45417</v>
      </c>
      <c r="AC15" s="18">
        <v>18</v>
      </c>
      <c r="AE15" s="21" t="str">
        <f>IF(AND(YEAR(Ne1Srp)=Rok,MONTH(Ne1Srp)=8),Ne1Srp, "")</f>
        <v/>
      </c>
      <c r="AF15" s="22"/>
      <c r="AG15" s="21" t="str">
        <f>IF(AND(YEAR(Ne1Srp+1)=Rok,MONTH(Ne1Srp+1)=8),Ne1Srp+1, "")</f>
        <v/>
      </c>
      <c r="AH15" s="22"/>
      <c r="AI15" s="21" t="str">
        <f>IF(AND(YEAR(Ne1Srp+2)=Rok,MONTH(Ne1Srp+2)=8),Ne1Srp+2, "")</f>
        <v/>
      </c>
      <c r="AJ15" s="22"/>
      <c r="AK15" s="21" t="str">
        <f>IF(AND(YEAR(Ne1Srp+3)=Rok,MONTH(Ne1Srp+3)=8),Ne1Srp+3, "")</f>
        <v/>
      </c>
      <c r="AL15" s="22"/>
      <c r="AM15" s="21" t="str">
        <f>IF(AND(YEAR(Ne1Srp+4)=Rok,MONTH(Ne1Srp+4)=8),Ne1Srp+4, "")</f>
        <v/>
      </c>
      <c r="AN15" s="22"/>
      <c r="AO15" s="30" t="str">
        <f>IF(AND(YEAR(Ne1Srp+5)=Rok,MONTH(Ne1Srp+5)=8),Ne1Srp+5, "")</f>
        <v/>
      </c>
      <c r="AP15" s="30" t="str">
        <f>IF(AND(YEAR(Ne1Srp+6)=Rok,MONTH(Ne1Srp+6)=8),Ne1Srp+6, "")</f>
        <v/>
      </c>
      <c r="AQ15" s="30"/>
      <c r="AS15" s="25" t="str">
        <f>IF(AND(YEAR(Ne1Lis)=Rok,MONTH(Ne1Lis)=11),Ne1Lis, "")</f>
        <v/>
      </c>
      <c r="AT15" s="26"/>
      <c r="AU15" s="25" t="str">
        <f>IF(AND(YEAR(Ne1Lis+1)=Rok,MONTH(Ne1Lis+1)=11),Ne1Lis+1, "")</f>
        <v/>
      </c>
      <c r="AV15" s="26"/>
      <c r="AW15" s="25" t="str">
        <f>IF(AND(YEAR(Ne1Lis+2)=Rok,MONTH(Ne1Lis+2)=11),Ne1Lis+2, "")</f>
        <v/>
      </c>
      <c r="AX15" s="26"/>
      <c r="AY15" s="25" t="str">
        <f>IF(AND(YEAR(Ne1Lis+3)=Rok,MONTH(Ne1Lis+3)=11),Ne1Lis+3, "")</f>
        <v/>
      </c>
      <c r="AZ15" s="26"/>
      <c r="BA15" s="16">
        <f>IF(AND(YEAR(Ne1Lis+4)=Rok,MONTH(Ne1Lis+4)=11),Ne1Lis+4, "")</f>
        <v>45597</v>
      </c>
      <c r="BB15" s="16"/>
      <c r="BC15" s="17">
        <f>IF(AND(YEAR(Ne1Lis+5)=Rok,MONTH(Ne1Lis+5)=11),Ne1Lis+5, "")</f>
        <v>45598</v>
      </c>
      <c r="BD15" s="17">
        <f>IF(AND(YEAR(Ne1Lis+6)=Rok,MONTH(Ne1Lis+6)=11),Ne1Lis+6, "")</f>
        <v>45599</v>
      </c>
      <c r="BE15" s="23">
        <v>44</v>
      </c>
    </row>
    <row r="16" spans="2:58" ht="18" customHeight="1" x14ac:dyDescent="0.25">
      <c r="C16" s="16">
        <f>IF(AND(YEAR(CC+7)=Rok,MONTH(CC+7)=2),CC+7, "")</f>
        <v>45327</v>
      </c>
      <c r="D16" s="16"/>
      <c r="E16" s="16">
        <f>IF(AND(YEAR(CC+8)=Rok,MONTH(CC+8)=2),CC+8, "")</f>
        <v>45328</v>
      </c>
      <c r="F16" s="16"/>
      <c r="G16" s="16">
        <f>IF(AND(YEAR(CC+9)=Rok,MONTH(CC+9)=2),CC+9, "")</f>
        <v>45329</v>
      </c>
      <c r="H16" s="16"/>
      <c r="I16" s="16">
        <f>IF(AND(YEAR(CC+10)=Rok,MONTH(CC+10)=2),CC+10, "")</f>
        <v>45330</v>
      </c>
      <c r="J16" s="16"/>
      <c r="K16" s="16">
        <f>IF(AND(YEAR(CC+11)=Rok,MONTH(CC+11)=2),CC+11, "")</f>
        <v>45331</v>
      </c>
      <c r="L16" s="16"/>
      <c r="M16" s="17">
        <f>IF(AND(YEAR(CC+12)=Rok,MONTH(CC+12)=2),CC+12, "")</f>
        <v>45332</v>
      </c>
      <c r="N16" s="17">
        <f>IF(AND(YEAR(CC+13)=Rok,MONTH(CC+13)=2),CC+13, "")</f>
        <v>45333</v>
      </c>
      <c r="O16" s="18">
        <v>6</v>
      </c>
      <c r="Q16" s="19">
        <f>IF(AND(YEAR(cvi+7)=Rok,MONTH(cvi+7)=5),cvi+7, "")</f>
        <v>45418</v>
      </c>
      <c r="R16" s="19"/>
      <c r="S16" s="16">
        <f>IF(AND(YEAR(cvi+8)=Rok,MONTH(cvi+8)=5),cvi+8, "")</f>
        <v>45419</v>
      </c>
      <c r="T16" s="16"/>
      <c r="U16" s="15">
        <f>IF(AND(YEAR(cvi+9)=Rok,MONTH(cvi+9)=5),cvi+9, "")</f>
        <v>45420</v>
      </c>
      <c r="V16" s="15"/>
      <c r="W16" s="16">
        <f>IF(AND(YEAR(cvi+10)=Rok,MONTH(cvi+10)=5),cvi+10, "")</f>
        <v>45421</v>
      </c>
      <c r="X16" s="16"/>
      <c r="Y16" s="16">
        <f>IF(AND(YEAR(cvi+11)=Rok,MONTH(cvi+11)=5),cvi+11, "")</f>
        <v>45422</v>
      </c>
      <c r="Z16" s="16"/>
      <c r="AA16" s="17">
        <f>IF(AND(YEAR(cvi+12)=Rok,MONTH(cvi+12)=5),cvi+12, "")</f>
        <v>45423</v>
      </c>
      <c r="AB16" s="17">
        <f>IF(AND(YEAR(cvi+13)=Rok,MONTH(cvi+13)=5),cvi+13, "")</f>
        <v>45424</v>
      </c>
      <c r="AC16" s="18">
        <v>19</v>
      </c>
      <c r="AE16" s="25" t="str">
        <f>IF(AND(YEAR(Ne1Srp+7)=Rok,MONTH(Ne1Srp+7)=8),Ne1Srp+7, "")</f>
        <v/>
      </c>
      <c r="AF16" s="26"/>
      <c r="AG16" s="25" t="str">
        <f>IF(AND(YEAR(Ne1Srp+8)=Rok,MONTH(Ne1Srp+8)=8),Ne1Srp+8, "")</f>
        <v/>
      </c>
      <c r="AH16" s="26"/>
      <c r="AI16" s="25" t="str">
        <f>IF(AND(YEAR(Ne1Srp+9)=Rok,MONTH(Ne1Srp+9)=8),Ne1Srp+9, "")</f>
        <v/>
      </c>
      <c r="AJ16" s="26"/>
      <c r="AK16" s="16">
        <f>IF(AND(YEAR(Ne1Srp+10)=Rok,MONTH(Ne1Srp+10)=8),Ne1Srp+10, "")</f>
        <v>45505</v>
      </c>
      <c r="AL16" s="16"/>
      <c r="AM16" s="16">
        <f>IF(AND(YEAR(Ne1Srp+11)=Rok,MONTH(Ne1Srp+11)=8),Ne1Srp+11, "")</f>
        <v>45506</v>
      </c>
      <c r="AN16" s="16"/>
      <c r="AO16" s="17">
        <f>IF(AND(YEAR(Ne1Srp+12)=Rok,MONTH(Ne1Srp+12)=8),Ne1Srp+12, "")</f>
        <v>45507</v>
      </c>
      <c r="AP16" s="17">
        <f>IF(AND(YEAR(Ne1Srp+13)=Rok,MONTH(Ne1Srp+13)=8),Ne1Srp+13, "")</f>
        <v>45508</v>
      </c>
      <c r="AQ16" s="18">
        <v>31</v>
      </c>
      <c r="AS16" s="19">
        <f>IF(AND(YEAR(Ne1Lis+7)=Rok,MONTH(Ne1Lis+7)=11),Ne1Lis+7, "")</f>
        <v>45600</v>
      </c>
      <c r="AT16" s="19"/>
      <c r="AU16" s="16">
        <f>IF(AND(YEAR(Ne1Lis+8)=Rok,MONTH(Ne1Lis+8)=11),Ne1Lis+8, "")</f>
        <v>45601</v>
      </c>
      <c r="AV16" s="16"/>
      <c r="AW16" s="16">
        <f>IF(AND(YEAR(Ne1Lis+9)=Rok,MONTH(Ne1Lis+9)=11),Ne1Lis+9, "")</f>
        <v>45602</v>
      </c>
      <c r="AX16" s="16"/>
      <c r="AY16" s="16">
        <f>IF(AND(YEAR(Ne1Lis+10)=Rok,MONTH(Ne1Lis+10)=11),Ne1Lis+10, "")</f>
        <v>45603</v>
      </c>
      <c r="AZ16" s="16"/>
      <c r="BA16" s="16">
        <f>IF(AND(YEAR(Ne1Lis+11)=Rok,MONTH(Ne1Lis+11)=11),Ne1Lis+11, "")</f>
        <v>45604</v>
      </c>
      <c r="BB16" s="16"/>
      <c r="BC16" s="17">
        <f>IF(AND(YEAR(Ne1Lis+12)=Rok,MONTH(Ne1Lis+12)=11),Ne1Lis+12, "")</f>
        <v>45605</v>
      </c>
      <c r="BD16" s="17">
        <f>IF(AND(YEAR(Ne1Lis+13)=Rok,MONTH(Ne1Lis+13)=11),Ne1Lis+13, "")</f>
        <v>45606</v>
      </c>
      <c r="BE16" s="23">
        <v>45</v>
      </c>
    </row>
    <row r="17" spans="3:57" ht="18" customHeight="1" x14ac:dyDescent="0.25">
      <c r="C17" s="16">
        <f>IF(AND(YEAR(CC+14)=Rok,MONTH(CC+14)=2),CC+14, "")</f>
        <v>45334</v>
      </c>
      <c r="D17" s="16"/>
      <c r="E17" s="16">
        <f>IF(AND(YEAR(CC+15)=Rok,MONTH(CC+15)=2),CC+15, "")</f>
        <v>45335</v>
      </c>
      <c r="F17" s="16"/>
      <c r="G17" s="16">
        <f>IF(AND(YEAR(CC+16)=Rok,MONTH(CC+16)=2),CC+16, "")</f>
        <v>45336</v>
      </c>
      <c r="H17" s="16"/>
      <c r="I17" s="16">
        <f>IF(AND(YEAR(CC+17)=Rok,MONTH(CC+17)=2),CC+17, "")</f>
        <v>45337</v>
      </c>
      <c r="J17" s="16"/>
      <c r="K17" s="16">
        <f>IF(AND(YEAR(CC+18)=Rok,MONTH(CC+18)=2),CC+18, "")</f>
        <v>45338</v>
      </c>
      <c r="L17" s="16"/>
      <c r="M17" s="17">
        <f>IF(AND(YEAR(CC+19)=Rok,MONTH(CC+19)=2),CC+19, "")</f>
        <v>45339</v>
      </c>
      <c r="N17" s="17">
        <f>IF(AND(YEAR(CC+20)=Rok,MONTH(CC+20)=2),CC+20, "")</f>
        <v>45340</v>
      </c>
      <c r="O17" s="18">
        <v>7</v>
      </c>
      <c r="Q17" s="19">
        <f>IF(AND(YEAR(cvi+14)=Rok,MONTH(cvi+14)=5),cvi+14, "")</f>
        <v>45425</v>
      </c>
      <c r="R17" s="19"/>
      <c r="S17" s="24">
        <f>IF(AND(YEAR(cvi+15)=Rok,MONTH(cvi+15)=5),cvi+15, "")</f>
        <v>45426</v>
      </c>
      <c r="T17" s="24"/>
      <c r="U17" s="16">
        <f>IF(AND(YEAR(cvi+16)=Rok,MONTH(cvi+16)=5),cvi+16, "")</f>
        <v>45427</v>
      </c>
      <c r="V17" s="16"/>
      <c r="W17" s="53">
        <f>IF(AND(YEAR(cvi+17)=Rok,MONTH(cvi+17)=5),cvi+17, "")</f>
        <v>45428</v>
      </c>
      <c r="X17" s="53"/>
      <c r="Y17" s="16">
        <f>IF(AND(YEAR(cvi+18)=Rok,MONTH(cvi+18)=5),cvi+18, "")</f>
        <v>45429</v>
      </c>
      <c r="Z17" s="16"/>
      <c r="AA17" s="17">
        <f>IF(AND(YEAR(cvi+19)=Rok,MONTH(cvi+19)=5),cvi+19, "")</f>
        <v>45430</v>
      </c>
      <c r="AB17" s="17">
        <f>IF(AND(YEAR(cvi+20)=Rok,MONTH(cvi+20)=5),cvi+20, "")</f>
        <v>45431</v>
      </c>
      <c r="AC17" s="18">
        <v>20</v>
      </c>
      <c r="AE17" s="19">
        <f>IF(AND(YEAR(Ne1Srp+14)=Rok,MONTH(Ne1Srp+14)=8),Ne1Srp+14, "")</f>
        <v>45509</v>
      </c>
      <c r="AF17" s="19"/>
      <c r="AG17" s="24">
        <f>IF(AND(YEAR(Ne1Srp+15)=Rok,MONTH(Ne1Srp+15)=8),Ne1Srp+15, "")</f>
        <v>45510</v>
      </c>
      <c r="AH17" s="24"/>
      <c r="AI17" s="16">
        <f>IF(AND(YEAR(Ne1Srp+16)=Rok,MONTH(Ne1Srp+16)=8),Ne1Srp+16, "")</f>
        <v>45511</v>
      </c>
      <c r="AJ17" s="16"/>
      <c r="AK17" s="53">
        <f>IF(AND(YEAR(Ne1Srp+17)=Rok,MONTH(Ne1Srp+17)=8),Ne1Srp+17, "")</f>
        <v>45512</v>
      </c>
      <c r="AL17" s="53"/>
      <c r="AM17" s="16">
        <f>IF(AND(YEAR(Ne1Srp+18)=Rok,MONTH(Ne1Srp+18)=8),Ne1Srp+18, "")</f>
        <v>45513</v>
      </c>
      <c r="AN17" s="16"/>
      <c r="AO17" s="17">
        <f>IF(AND(YEAR(Ne1Srp+19)=Rok,MONTH(Ne1Srp+19)=8),Ne1Srp+19, "")</f>
        <v>45514</v>
      </c>
      <c r="AP17" s="17">
        <f>IF(AND(YEAR(Ne1Srp+20)=Rok,MONTH(Ne1Srp+20)=8),Ne1Srp+20, "")</f>
        <v>45515</v>
      </c>
      <c r="AQ17" s="23">
        <v>32</v>
      </c>
      <c r="AS17" s="19">
        <f>IF(AND(YEAR(Ne1Lis+14)=Rok,MONTH(Ne1Lis+14)=11),Ne1Lis+14, "")</f>
        <v>45607</v>
      </c>
      <c r="AT17" s="19"/>
      <c r="AU17" s="16">
        <f>IF(AND(YEAR(Ne1Lis+15)=Rok,MONTH(Ne1Lis+15)=11),Ne1Lis+15, "")</f>
        <v>45608</v>
      </c>
      <c r="AV17" s="16"/>
      <c r="AW17" s="16">
        <f>IF(AND(YEAR(Ne1Lis+16)=Rok,MONTH(Ne1Lis+16)=11),Ne1Lis+16, "")</f>
        <v>45609</v>
      </c>
      <c r="AX17" s="16"/>
      <c r="AY17" s="16">
        <f>IF(AND(YEAR(Ne1Lis+17)=Rok,MONTH(Ne1Lis+17)=11),Ne1Lis+17, "")</f>
        <v>45610</v>
      </c>
      <c r="AZ17" s="16"/>
      <c r="BA17" s="16">
        <f>IF(AND(YEAR(Ne1Lis+18)=Rok,MONTH(Ne1Lis+18)=11),Ne1Lis+18, "")</f>
        <v>45611</v>
      </c>
      <c r="BB17" s="16"/>
      <c r="BC17" s="17">
        <f>IF(AND(YEAR(Ne1Lis+19)=Rok,MONTH(Ne1Lis+19)=11),Ne1Lis+19, "")</f>
        <v>45612</v>
      </c>
      <c r="BD17" s="60">
        <f>IF(AND(YEAR(Ne1Lis+20)=Rok,MONTH(Ne1Lis+20)=11),Ne1Lis+20, "")</f>
        <v>45613</v>
      </c>
      <c r="BE17" s="23">
        <v>46</v>
      </c>
    </row>
    <row r="18" spans="3:57" ht="18" customHeight="1" x14ac:dyDescent="0.25">
      <c r="C18" s="16">
        <f>IF(AND(YEAR(CC+21)=Rok,MONTH(CC+21)=2),CC+21, "")</f>
        <v>45341</v>
      </c>
      <c r="D18" s="16"/>
      <c r="E18" s="16">
        <f>IF(AND(YEAR(CC+22)=Rok,MONTH(CC+22)=2),CC+22, "")</f>
        <v>45342</v>
      </c>
      <c r="F18" s="16"/>
      <c r="G18" s="16">
        <f>IF(AND(YEAR(CC+23)=Rok,MONTH(CC+23)=2),CC+23, "")</f>
        <v>45343</v>
      </c>
      <c r="H18" s="16"/>
      <c r="I18" s="16">
        <f>IF(AND(YEAR(CC+24)=Rok,MONTH(CC+24)=2),CC+24, "")</f>
        <v>45344</v>
      </c>
      <c r="J18" s="16"/>
      <c r="K18" s="16">
        <f>IF(AND(YEAR(CC+25)=Rok,MONTH(CC+25)=2),CC+25, "")</f>
        <v>45345</v>
      </c>
      <c r="L18" s="16"/>
      <c r="M18" s="17">
        <f>IF(AND(YEAR(CC+26)=Rok,MONTH(CC+26)=2),CC+26, "")</f>
        <v>45346</v>
      </c>
      <c r="N18" s="17">
        <f>IF(AND(YEAR(CC+27)=Rok,MONTH(CC+27)=2),CC+27, "")</f>
        <v>45347</v>
      </c>
      <c r="O18" s="18">
        <v>8</v>
      </c>
      <c r="Q18" s="19">
        <f>IF(AND(YEAR(cvi+21)=Rok,MONTH(cvi+21)=5),cvi+21, "")</f>
        <v>45432</v>
      </c>
      <c r="R18" s="19"/>
      <c r="S18" s="16">
        <f>IF(AND(YEAR(cvi+22)=Rok,MONTH(cvi+22)=5),cvi+22, "")</f>
        <v>45433</v>
      </c>
      <c r="T18" s="16"/>
      <c r="U18" s="16">
        <f>IF(AND(YEAR(cvi+23)=Rok,MONTH(cvi+23)=5),cvi+23, "")</f>
        <v>45434</v>
      </c>
      <c r="V18" s="16"/>
      <c r="W18" s="16">
        <f>IF(AND(YEAR(cvi+24)=Rok,MONTH(cvi+24)=5),cvi+24, "")</f>
        <v>45435</v>
      </c>
      <c r="X18" s="16"/>
      <c r="Y18" s="16">
        <f>IF(AND(YEAR(cvi+25)=Rok,MONTH(cvi+25)=5),cvi+25, "")</f>
        <v>45436</v>
      </c>
      <c r="Z18" s="16"/>
      <c r="AA18" s="17">
        <f>IF(AND(YEAR(cvi+26)=Rok,MONTH(cvi+26)=5),cvi+26, "")</f>
        <v>45437</v>
      </c>
      <c r="AB18" s="17">
        <f>IF(AND(YEAR(cvi+27)=Rok,MONTH(cvi+27)=5),cvi+27, "")</f>
        <v>45438</v>
      </c>
      <c r="AC18" s="18">
        <v>21</v>
      </c>
      <c r="AE18" s="19">
        <f>IF(AND(YEAR(Ne1Srp+21)=Rok,MONTH(Ne1Srp+21)=8),Ne1Srp+21, "")</f>
        <v>45516</v>
      </c>
      <c r="AF18" s="19"/>
      <c r="AG18" s="16">
        <f>IF(AND(YEAR(Ne1Srp+22)=Rok,MONTH(Ne1Srp+22)=8),Ne1Srp+22, "")</f>
        <v>45517</v>
      </c>
      <c r="AH18" s="16"/>
      <c r="AI18" s="16">
        <f>IF(AND(YEAR(Ne1Srp+23)=Rok,MONTH(Ne1Srp+23)=8),Ne1Srp+23, "")</f>
        <v>45518</v>
      </c>
      <c r="AJ18" s="16"/>
      <c r="AK18" s="16">
        <f>IF(AND(YEAR(Ne1Srp+24)=Rok,MONTH(Ne1Srp+24)=8),Ne1Srp+24, "")</f>
        <v>45519</v>
      </c>
      <c r="AL18" s="16"/>
      <c r="AM18" s="16">
        <f>IF(AND(YEAR(Ne1Srp+25)=Rok,MONTH(Ne1Srp+25)=8),Ne1Srp+25, "")</f>
        <v>45520</v>
      </c>
      <c r="AN18" s="16"/>
      <c r="AO18" s="17">
        <f>IF(AND(YEAR(Ne1Srp+26)=Rok,MONTH(Ne1Srp+26)=8),Ne1Srp+26, "")</f>
        <v>45521</v>
      </c>
      <c r="AP18" s="17">
        <f>IF(AND(YEAR(Ne1Srp+27)=Rok,MONTH(Ne1Srp+27)=8),Ne1Srp+27, "")</f>
        <v>45522</v>
      </c>
      <c r="AQ18" s="23">
        <v>33</v>
      </c>
      <c r="AS18" s="19">
        <f>IF(AND(YEAR(Ne1Lis+21)=Rok,MONTH(Ne1Lis+21)=11),Ne1Lis+21, "")</f>
        <v>45614</v>
      </c>
      <c r="AT18" s="19"/>
      <c r="AU18" s="24">
        <f>IF(AND(YEAR(Ne1Lis+22)=Rok,MONTH(Ne1Lis+22)=11),Ne1Lis+22, "")</f>
        <v>45615</v>
      </c>
      <c r="AV18" s="24"/>
      <c r="AW18" s="16">
        <f>IF(AND(YEAR(Ne1Lis+23)=Rok,MONTH(Ne1Lis+23)=11),Ne1Lis+23, "")</f>
        <v>45616</v>
      </c>
      <c r="AX18" s="16"/>
      <c r="AY18" s="16">
        <f>IF(AND(YEAR(Ne1Lis+24)=Rok,MONTH(Ne1Lis+24)=11),Ne1Lis+24, "")</f>
        <v>45617</v>
      </c>
      <c r="AZ18" s="16"/>
      <c r="BA18" s="16">
        <f>IF(AND(YEAR(Ne1Lis+25)=Rok,MONTH(Ne1Lis+25)=11),Ne1Lis+25, "")</f>
        <v>45618</v>
      </c>
      <c r="BB18" s="16"/>
      <c r="BC18" s="17">
        <f>IF(AND(YEAR(Ne1Lis+26)=Rok,MONTH(Ne1Lis+26)=11),Ne1Lis+26, "")</f>
        <v>45619</v>
      </c>
      <c r="BD18" s="17">
        <f>IF(AND(YEAR(Ne1Lis+27)=Rok,MONTH(Ne1Lis+27)=11),Ne1Lis+27, "")</f>
        <v>45620</v>
      </c>
      <c r="BE18" s="23">
        <v>47</v>
      </c>
    </row>
    <row r="19" spans="3:57" ht="18" customHeight="1" x14ac:dyDescent="0.25">
      <c r="C19" s="29">
        <f>IF(AND(YEAR(CC+28)=Rok,MONTH(CC+28)=2),CC+28, "")</f>
        <v>45348</v>
      </c>
      <c r="D19" s="29"/>
      <c r="E19" s="16">
        <f>IF(AND(YEAR(CC+29)=Rok,MONTH(CC+29)=2),CC+29, "")</f>
        <v>45349</v>
      </c>
      <c r="F19" s="16"/>
      <c r="G19" s="16">
        <f>IF(AND(YEAR(CC+30)=Rok,MONTH(CC+30)=2),CC+30, "")</f>
        <v>45350</v>
      </c>
      <c r="H19" s="16"/>
      <c r="I19" s="16">
        <f>IF(AND(YEAR(CC+31)=Rok,MONTH(CC+31)=2),CC+31, "")</f>
        <v>45351</v>
      </c>
      <c r="J19" s="16"/>
      <c r="K19" s="21" t="str">
        <f>IF(AND(YEAR(CC+32)=Rok,MONTH(CC+32)=2),CC+32, "")</f>
        <v/>
      </c>
      <c r="L19" s="22"/>
      <c r="M19" s="30" t="str">
        <f>IF(AND(YEAR(CC+33)=Rok,MONTH(CC+33)=2),CC+33, "")</f>
        <v/>
      </c>
      <c r="N19" s="30" t="str">
        <f>IF(AND(YEAR(CC+34)=Rok,MONTH(CC+34)=2),CC+34, "")</f>
        <v/>
      </c>
      <c r="O19" s="18">
        <v>9</v>
      </c>
      <c r="Q19" s="19">
        <f>IF(AND(YEAR(cvi+28)=Rok,MONTH(cvi+28)=5),cvi+28, "")</f>
        <v>45439</v>
      </c>
      <c r="R19" s="19"/>
      <c r="S19" s="16">
        <f>IF(AND(YEAR(cvi+29)=Rok,MONTH(cvi+29)=5),cvi+29, "")</f>
        <v>45440</v>
      </c>
      <c r="T19" s="16"/>
      <c r="U19" s="16">
        <f>IF(AND(YEAR(cvi+30)=Rok,MONTH(cvi+30)=5),cvi+30, "")</f>
        <v>45441</v>
      </c>
      <c r="V19" s="16"/>
      <c r="W19" s="16">
        <f>IF(AND(YEAR(cvi+31)=Rok,MONTH(cvi+31)=5),cvi+31, "")</f>
        <v>45442</v>
      </c>
      <c r="X19" s="16"/>
      <c r="Y19" s="16">
        <f>IF(AND(YEAR(cvi+32)=Rok,MONTH(cvi+32)=5),cvi+32, "")</f>
        <v>45443</v>
      </c>
      <c r="Z19" s="16"/>
      <c r="AA19" s="30" t="str">
        <f>IF(AND(YEAR(cvi+33)=Rok,MONTH(cvi+33)=5),cvi+33, "")</f>
        <v/>
      </c>
      <c r="AB19" s="30" t="str">
        <f>IF(AND(YEAR(cvi+34)=Rok,MONTH(cvi+34)=5),cvi+34, "")</f>
        <v/>
      </c>
      <c r="AC19" s="18">
        <v>22</v>
      </c>
      <c r="AE19" s="19">
        <f>IF(AND(YEAR(Ne1Srp+28)=Rok,MONTH(Ne1Srp+28)=8),Ne1Srp+28, "")</f>
        <v>45523</v>
      </c>
      <c r="AF19" s="19"/>
      <c r="AG19" s="16">
        <f>IF(AND(YEAR(Ne1Srp+29)=Rok,MONTH(Ne1Srp+29)=8),Ne1Srp+29, "")</f>
        <v>45524</v>
      </c>
      <c r="AH19" s="16"/>
      <c r="AI19" s="16">
        <f>IF(AND(YEAR(Ne1Srp+30)=Rok,MONTH(Ne1Srp+30)=8),Ne1Srp+30, "")</f>
        <v>45525</v>
      </c>
      <c r="AJ19" s="16"/>
      <c r="AK19" s="16">
        <f>IF(AND(YEAR(Ne1Srp+31)=Rok,MONTH(Ne1Srp+31)=8),Ne1Srp+31, "")</f>
        <v>45526</v>
      </c>
      <c r="AL19" s="16"/>
      <c r="AM19" s="16">
        <f>IF(AND(YEAR(Ne1Srp+32)=Rok,MONTH(Ne1Srp+32)=8),Ne1Srp+32, "")</f>
        <v>45527</v>
      </c>
      <c r="AN19" s="16"/>
      <c r="AO19" s="17">
        <f>IF(AND(YEAR(Ne1Srp+33)=Rok,MONTH(Ne1Srp+33)=8),Ne1Srp+33, "")</f>
        <v>45528</v>
      </c>
      <c r="AP19" s="17">
        <f>IF(AND(YEAR(Ne1Srp+34)=Rok,MONTH(Ne1Srp+34)=8),Ne1Srp+34, "")</f>
        <v>45529</v>
      </c>
      <c r="AQ19" s="23">
        <v>34</v>
      </c>
      <c r="AS19" s="19">
        <f>IF(AND(YEAR(Ne1Lis+28)=Rok,MONTH(Ne1Lis+28)=11),Ne1Lis+28, "")</f>
        <v>45621</v>
      </c>
      <c r="AT19" s="19"/>
      <c r="AU19" s="16">
        <f>IF(AND(YEAR(Ne1Lis+29)=Rok,MONTH(Ne1Lis+29)=11),Ne1Lis+29, "")</f>
        <v>45622</v>
      </c>
      <c r="AV19" s="16"/>
      <c r="AW19" s="16">
        <f>IF(AND(YEAR(Ne1Lis+30)=Rok,MONTH(Ne1Lis+30)=11),Ne1Lis+30, "")</f>
        <v>45623</v>
      </c>
      <c r="AX19" s="16"/>
      <c r="AY19" s="53">
        <f>IF(AND(YEAR(Ne1Lis+31)=Rok,MONTH(Ne1Lis+31)=11),Ne1Lis+31, "")</f>
        <v>45624</v>
      </c>
      <c r="AZ19" s="53"/>
      <c r="BA19" s="16">
        <f>IF(AND(YEAR(Ne1Lis+32)=Rok,MONTH(Ne1Lis+32)=11),Ne1Lis+32, "")</f>
        <v>45625</v>
      </c>
      <c r="BB19" s="16"/>
      <c r="BC19" s="17">
        <f>IF(AND(YEAR(Ne1Lis+33)=Rok,MONTH(Ne1Lis+33)=11),Ne1Lis+33, "")</f>
        <v>45626</v>
      </c>
      <c r="BD19" s="30" t="str">
        <f>IF(AND(YEAR(Ne1Lis+34)=Rok,MONTH(Ne1Lis+34)=11),Ne1Lis+34, "")</f>
        <v/>
      </c>
      <c r="BE19" s="23">
        <v>48</v>
      </c>
    </row>
    <row r="20" spans="3:57" ht="18" customHeight="1" x14ac:dyDescent="0.25">
      <c r="C20" s="31" t="str">
        <f>IF(AND(YEAR(CC+35)=Rok,MONTH(CC+35)=2),CC+35, "")</f>
        <v/>
      </c>
      <c r="D20" s="32"/>
      <c r="E20" s="31" t="str">
        <f>IF(AND(YEAR(CC+36)=Rok,MONTH(CC+36)=2),CC+36, "")</f>
        <v/>
      </c>
      <c r="F20" s="32"/>
      <c r="G20" s="31" t="str">
        <f>IF(AND(YEAR(CC+37)=Rok,MONTH(CC+37)=2),CC+37, "")</f>
        <v/>
      </c>
      <c r="H20" s="32"/>
      <c r="I20" s="31" t="str">
        <f>IF(AND(YEAR(CC+38)=Rok,MONTH(CC+38)=2),CC+38, "")</f>
        <v/>
      </c>
      <c r="J20" s="32"/>
      <c r="K20" s="31" t="str">
        <f>IF(AND(YEAR(CC+39)=Rok,MONTH(CC+39)=2),CC+39, "")</f>
        <v/>
      </c>
      <c r="L20" s="32"/>
      <c r="M20" s="30" t="str">
        <f>IF(AND(YEAR(CC+40)=Rok,MONTH(CC+40)=2),CC+40, "")</f>
        <v/>
      </c>
      <c r="N20" s="30" t="str">
        <f>IF(AND(YEAR(CC+41)=Rok,MONTH(CC+41)=2),CC+41, "")</f>
        <v/>
      </c>
      <c r="O20" s="30"/>
      <c r="Q20" s="31" t="str">
        <f>IF(AND(YEAR(cvi+35)=Rok,MONTH(cvi+35)=5),cvi+35, "")</f>
        <v/>
      </c>
      <c r="R20" s="32"/>
      <c r="S20" s="31" t="str">
        <f>IF(AND(YEAR(cvi+36)=Rok,MONTH(cvi+36)=5),cvi+36, "")</f>
        <v/>
      </c>
      <c r="T20" s="32"/>
      <c r="U20" s="31" t="str">
        <f>IF(AND(YEAR(cvi+37)=Rok,MONTH(cvi+37)=5),cvi+37, "")</f>
        <v/>
      </c>
      <c r="V20" s="32"/>
      <c r="W20" s="31" t="str">
        <f>IF(AND(YEAR(cvi+38)=Rok,MONTH(cvi+38)=5),cvi+38, "")</f>
        <v/>
      </c>
      <c r="X20" s="32"/>
      <c r="Y20" s="31" t="str">
        <f>IF(AND(YEAR(cvi+39)=Rok,MONTH(cvi+39)=5),cvi+39, "")</f>
        <v/>
      </c>
      <c r="Z20" s="32"/>
      <c r="AA20" s="30" t="str">
        <f>IF(AND(YEAR(cvi+40)=Rok,MONTH(cvi+40)=5),cvi+40, "")</f>
        <v/>
      </c>
      <c r="AB20" s="30" t="str">
        <f>IF(AND(YEAR(cvi+41)=Rok,MONTH(cvi+41)=5),cvi+41, "")</f>
        <v/>
      </c>
      <c r="AC20" s="30"/>
      <c r="AE20" s="19">
        <f>IF(AND(YEAR(Ne1Srp+35)=Rok,MONTH(Ne1Srp+35)=8),Ne1Srp+35, "")</f>
        <v>45530</v>
      </c>
      <c r="AF20" s="19"/>
      <c r="AG20" s="24">
        <f>IF(AND(YEAR(Ne1Srp+36)=Rok,MONTH(Ne1Srp+36)=8),Ne1Srp+36, "")</f>
        <v>45531</v>
      </c>
      <c r="AH20" s="24"/>
      <c r="AI20" s="16">
        <f>IF(AND(YEAR(Ne1Srp+37)=Rok,MONTH(Ne1Srp+37)=8),Ne1Srp+37, "")</f>
        <v>45532</v>
      </c>
      <c r="AJ20" s="16"/>
      <c r="AK20" s="16">
        <f>IF(AND(YEAR(Ne1Srp+38)=Rok,MONTH(Ne1Srp+38)=8),Ne1Srp+38, "")</f>
        <v>45533</v>
      </c>
      <c r="AL20" s="16"/>
      <c r="AM20" s="16">
        <f>IF(AND(YEAR(Ne1Srp+39)=Rok,MONTH(Ne1Srp+39)=8),Ne1Srp+39, "")</f>
        <v>45534</v>
      </c>
      <c r="AN20" s="16"/>
      <c r="AO20" s="17">
        <f>IF(AND(YEAR(Ne1Srp+40)=Rok,MONTH(Ne1Srp+40)=8),Ne1Srp+40, "")</f>
        <v>45535</v>
      </c>
      <c r="AP20" s="30"/>
      <c r="AQ20" s="23">
        <v>35</v>
      </c>
      <c r="AS20" s="21" t="str">
        <f>IF(AND(YEAR(Ne1Lis+35)=Rok,MONTH(Ne1Lis+35)=11),Ne1Lis+35, "")</f>
        <v/>
      </c>
      <c r="AT20" s="22"/>
      <c r="AU20" s="21" t="str">
        <f>IF(AND(YEAR(Ne1Lis+36)=Rok,MONTH(Ne1Lis+36)=11),Ne1Lis+36, "")</f>
        <v/>
      </c>
      <c r="AV20" s="22"/>
      <c r="AW20" s="21" t="str">
        <f>IF(AND(YEAR(Ne1Lis+37)=Rok,MONTH(Ne1Lis+37)=11),Ne1Lis+37, "")</f>
        <v/>
      </c>
      <c r="AX20" s="22"/>
      <c r="AY20" s="21" t="str">
        <f>IF(AND(YEAR(Ne1Lis+38)=Rok,MONTH(Ne1Lis+38)=11),Ne1Lis+38, "")</f>
        <v/>
      </c>
      <c r="AZ20" s="22"/>
      <c r="BA20" s="21" t="str">
        <f>IF(AND(YEAR(Ne1Lis+39)=Rok,MONTH(Ne1Lis+39)=11),Ne1Lis+39, "")</f>
        <v/>
      </c>
      <c r="BB20" s="22"/>
      <c r="BC20" s="30" t="str">
        <f>IF(AND(YEAR(Ne1Lis+40)=Rok,MONTH(Ne1Lis+40)=11),Ne1Lis+40, "")</f>
        <v/>
      </c>
      <c r="BD20" s="30" t="str">
        <f>IF(AND(YEAR(Ne1Lis+41)=Rok,MONTH(Ne1Lis+41)=11),Ne1Lis+41, "")</f>
        <v/>
      </c>
      <c r="BE20" s="41"/>
    </row>
    <row r="22" spans="3:57" ht="18" customHeight="1" thickBot="1" x14ac:dyDescent="0.3">
      <c r="C22" s="54" t="s">
        <v>17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2" t="s">
        <v>2</v>
      </c>
      <c r="Q22" s="54" t="s">
        <v>18</v>
      </c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2" t="s">
        <v>2</v>
      </c>
      <c r="AE22" s="54" t="s">
        <v>19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2" t="s">
        <v>2</v>
      </c>
      <c r="AS22" s="54" t="s">
        <v>20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2" t="s">
        <v>2</v>
      </c>
    </row>
    <row r="23" spans="3:57" ht="18" customHeight="1" thickTop="1" x14ac:dyDescent="0.25">
      <c r="C23" s="5" t="s">
        <v>6</v>
      </c>
      <c r="D23" s="5"/>
      <c r="E23" s="5" t="s">
        <v>7</v>
      </c>
      <c r="F23" s="5"/>
      <c r="G23" s="5" t="s">
        <v>8</v>
      </c>
      <c r="H23" s="5"/>
      <c r="I23" s="5" t="s">
        <v>9</v>
      </c>
      <c r="J23" s="5"/>
      <c r="K23" s="5" t="s">
        <v>10</v>
      </c>
      <c r="L23" s="5"/>
      <c r="M23" s="6" t="s">
        <v>11</v>
      </c>
      <c r="N23" s="6" t="s">
        <v>12</v>
      </c>
      <c r="O23" s="6"/>
      <c r="Q23" s="5" t="s">
        <v>6</v>
      </c>
      <c r="R23" s="5"/>
      <c r="S23" s="5" t="s">
        <v>7</v>
      </c>
      <c r="T23" s="5"/>
      <c r="U23" s="5" t="s">
        <v>8</v>
      </c>
      <c r="V23" s="5"/>
      <c r="W23" s="5" t="s">
        <v>9</v>
      </c>
      <c r="X23" s="5"/>
      <c r="Y23" s="5" t="s">
        <v>10</v>
      </c>
      <c r="Z23" s="5"/>
      <c r="AA23" s="6" t="s">
        <v>11</v>
      </c>
      <c r="AB23" s="6" t="s">
        <v>12</v>
      </c>
      <c r="AC23" s="6"/>
      <c r="AE23" s="5" t="s">
        <v>6</v>
      </c>
      <c r="AF23" s="5"/>
      <c r="AG23" s="5" t="s">
        <v>7</v>
      </c>
      <c r="AH23" s="5"/>
      <c r="AI23" s="5" t="s">
        <v>8</v>
      </c>
      <c r="AJ23" s="5"/>
      <c r="AK23" s="5" t="s">
        <v>9</v>
      </c>
      <c r="AL23" s="5"/>
      <c r="AM23" s="5" t="s">
        <v>10</v>
      </c>
      <c r="AN23" s="5"/>
      <c r="AO23" s="6" t="s">
        <v>11</v>
      </c>
      <c r="AP23" s="6" t="s">
        <v>12</v>
      </c>
      <c r="AQ23" s="6"/>
      <c r="AS23" s="5" t="s">
        <v>6</v>
      </c>
      <c r="AT23" s="5"/>
      <c r="AU23" s="5" t="s">
        <v>7</v>
      </c>
      <c r="AV23" s="5"/>
      <c r="AW23" s="5" t="s">
        <v>8</v>
      </c>
      <c r="AX23" s="5"/>
      <c r="AY23" s="5" t="s">
        <v>9</v>
      </c>
      <c r="AZ23" s="5"/>
      <c r="BA23" s="5" t="s">
        <v>10</v>
      </c>
      <c r="BB23" s="5"/>
      <c r="BC23" s="6" t="s">
        <v>11</v>
      </c>
      <c r="BD23" s="6" t="s">
        <v>12</v>
      </c>
      <c r="BE23" s="6"/>
    </row>
    <row r="24" spans="3:57" ht="18" customHeight="1" x14ac:dyDescent="0.25">
      <c r="C24" s="25" t="str">
        <f>IF(AND(YEAR(ne2br)=Rok,MONTH(ne2br)=3),ne2br, "")</f>
        <v/>
      </c>
      <c r="D24" s="26"/>
      <c r="E24" s="25" t="str">
        <f>IF(AND(YEAR(ne2br+1)=Rok,MONTH(ne2br+1)=3),ne2br+1, "")</f>
        <v/>
      </c>
      <c r="F24" s="26"/>
      <c r="G24" s="25" t="str">
        <f>IF(AND(YEAR(ne2br+2)=Rok,MONTH(ne2br+2)=3),ne2br+2, "")</f>
        <v/>
      </c>
      <c r="H24" s="26"/>
      <c r="I24" s="25" t="str">
        <f>IF(AND(YEAR(ne2br+3)=Rok,MONTH(ne2br+3)=3),ne2br+3, "")</f>
        <v/>
      </c>
      <c r="J24" s="26"/>
      <c r="K24" s="16">
        <f>IF(AND(YEAR(ne2br+4)=Rok,MONTH(ne2br+4)=3),ne2br+4, "")</f>
        <v>45352</v>
      </c>
      <c r="L24" s="16"/>
      <c r="M24" s="17">
        <f>IF(AND(YEAR(ne2br+5)=Rok,MONTH(ne2br+5)=3),ne2br+5, "")</f>
        <v>45353</v>
      </c>
      <c r="N24" s="17">
        <f>IF(AND(YEAR(ne2br+6)=Rok,MONTH(ne2br+6)=3),ne2br+6, "")</f>
        <v>45354</v>
      </c>
      <c r="O24" s="18">
        <v>9</v>
      </c>
      <c r="Q24" s="21" t="str">
        <f>IF(AND(YEAR(aaaaa)=Rok,MONTH(aaaaa)=6),aaaaa, "")</f>
        <v/>
      </c>
      <c r="R24" s="22"/>
      <c r="S24" s="21" t="str">
        <f>IF(AND(YEAR(aaaaa+1)=Rok,MONTH(aaaaa+1)=6),aaaaa+1, "")</f>
        <v/>
      </c>
      <c r="T24" s="22"/>
      <c r="U24" s="21" t="str">
        <f>IF(AND(YEAR(aaaaa+2)=Rok,MONTH(aaaaa+2)=6),aaaaa+2, "")</f>
        <v/>
      </c>
      <c r="V24" s="22"/>
      <c r="W24" s="21" t="str">
        <f>IF(AND(YEAR(aaaaa+3)=Rok,MONTH(aaaaa+3)=6),aaaaa+3, "")</f>
        <v/>
      </c>
      <c r="X24" s="22"/>
      <c r="Y24" s="21" t="str">
        <f>IF(AND(YEAR(aaaaa+4)=Rok,MONTH(aaaaa+4)=6),aaaaa+4, "")</f>
        <v/>
      </c>
      <c r="Z24" s="22"/>
      <c r="AA24" s="17">
        <f>IF(AND(YEAR(aaaaa+5)=Rok,MONTH(aaaaa+5)=6),aaaaa+5, "")</f>
        <v>45444</v>
      </c>
      <c r="AB24" s="17">
        <f>IF(AND(YEAR(aaaaa+6)=Rok,MONTH(aaaaa+6)=6),aaaaa+6, "")</f>
        <v>45445</v>
      </c>
      <c r="AC24" s="18">
        <v>22</v>
      </c>
      <c r="AE24" s="25"/>
      <c r="AF24" s="26"/>
      <c r="AG24" s="25"/>
      <c r="AH24" s="26"/>
      <c r="AI24" s="25"/>
      <c r="AJ24" s="26"/>
      <c r="AK24" s="25"/>
      <c r="AL24" s="26"/>
      <c r="AM24" s="25"/>
      <c r="AN24" s="26"/>
      <c r="AO24" s="27"/>
      <c r="AP24" s="17">
        <v>1</v>
      </c>
      <c r="AQ24" s="23">
        <v>35</v>
      </c>
      <c r="AS24" s="25"/>
      <c r="AT24" s="26"/>
      <c r="AU24" s="25"/>
      <c r="AV24" s="26"/>
      <c r="AW24" s="25"/>
      <c r="AX24" s="26"/>
      <c r="AY24" s="25"/>
      <c r="AZ24" s="26"/>
      <c r="BA24" s="25"/>
      <c r="BB24" s="26"/>
      <c r="BC24" s="27"/>
      <c r="BD24" s="17">
        <v>1</v>
      </c>
      <c r="BE24" s="23">
        <v>48</v>
      </c>
    </row>
    <row r="25" spans="3:57" ht="18" customHeight="1" x14ac:dyDescent="0.25">
      <c r="C25" s="16">
        <f>IF(AND(YEAR(ne2br+7)=Rok,MONTH(ne2br+7)=3),ne2br+7, "")</f>
        <v>45355</v>
      </c>
      <c r="D25" s="16"/>
      <c r="E25" s="16">
        <f>IF(AND(YEAR(ne2br+8)=Rok,MONTH(ne2br+8)=3),ne2br+8, "")</f>
        <v>45356</v>
      </c>
      <c r="F25" s="16"/>
      <c r="G25" s="16">
        <f>IF(AND(YEAR(ne2br+9)=Rok,MONTH(ne2br+9)=3),ne2br+9, "")</f>
        <v>45357</v>
      </c>
      <c r="H25" s="16"/>
      <c r="I25" s="16">
        <f>IF(AND(YEAR(ne2br+10)=Rok,MONTH(ne2br+10)=3),ne2br+10, "")</f>
        <v>45358</v>
      </c>
      <c r="J25" s="16"/>
      <c r="K25" s="16">
        <f>IF(AND(YEAR(ne2br+11)=Rok,MONTH(ne2br+11)=3),ne2br+11, "")</f>
        <v>45359</v>
      </c>
      <c r="L25" s="16"/>
      <c r="M25" s="17">
        <f>IF(AND(YEAR(ne2br+12)=Rok,MONTH(ne2br+12)=3),ne2br+12, "")</f>
        <v>45360</v>
      </c>
      <c r="N25" s="17">
        <f>IF(AND(YEAR(ne2br+13)=Rok,MONTH(ne2br+13)=3),ne2br+13, "")</f>
        <v>45361</v>
      </c>
      <c r="O25" s="18">
        <v>10</v>
      </c>
      <c r="Q25" s="19">
        <f>IF(AND(YEAR(aaaaa+7)=Rok,MONTH(aaaaa+7)=6),aaaaa+7, "")</f>
        <v>45446</v>
      </c>
      <c r="R25" s="19"/>
      <c r="S25" s="24">
        <f>IF(AND(YEAR(aaaaa+8)=Rok,MONTH(aaaaa+8)=6),aaaaa+8, "")</f>
        <v>45447</v>
      </c>
      <c r="T25" s="24"/>
      <c r="U25" s="16">
        <f>IF(AND(YEAR(aaaaa+9)=Rok,MONTH(aaaaa+9)=6),aaaaa+9, "")</f>
        <v>45448</v>
      </c>
      <c r="V25" s="16"/>
      <c r="W25" s="16">
        <f>IF(AND(YEAR(aaaaa+10)=Rok,MONTH(aaaaa+10)=6),aaaaa+10, "")</f>
        <v>45449</v>
      </c>
      <c r="X25" s="16"/>
      <c r="Y25" s="16">
        <f>IF(AND(YEAR(aaaaa+11)=Rok,MONTH(aaaaa+11)=6),aaaaa+11, "")</f>
        <v>45450</v>
      </c>
      <c r="Z25" s="16"/>
      <c r="AA25" s="17">
        <f>IF(AND(YEAR(aaaaa+12)=Rok,MONTH(aaaaa+12)=6),aaaaa+12, "")</f>
        <v>45451</v>
      </c>
      <c r="AB25" s="17">
        <f>IF(AND(YEAR(aaaaa+13)=Rok,MONTH(aaaaa+13)=6),aaaaa+13, "")</f>
        <v>45452</v>
      </c>
      <c r="AC25" s="18">
        <v>23</v>
      </c>
      <c r="AE25" s="19">
        <f>IF(AND(YEAR(ahoj)=Rok,MONTH(ahoj)=9),ahoj, "")</f>
        <v>45537</v>
      </c>
      <c r="AF25" s="19"/>
      <c r="AG25" s="16">
        <f>IF(AND(YEAR(ahoj+1)=Rok,MONTH(ahoj+1)=9),ahoj+1, "")</f>
        <v>45538</v>
      </c>
      <c r="AH25" s="16"/>
      <c r="AI25" s="16">
        <f>IF(AND(YEAR(ahoj+2)=Rok,MONTH(ahoj+2)=9),ahoj+2, "")</f>
        <v>45539</v>
      </c>
      <c r="AJ25" s="16"/>
      <c r="AK25" s="53">
        <f>IF(AND(YEAR(ahoj+3)=Rok,MONTH(ahoj+3)=9),ahoj+3, "")</f>
        <v>45540</v>
      </c>
      <c r="AL25" s="53"/>
      <c r="AM25" s="16">
        <f>IF(AND(YEAR(ahoj+4)=Rok,MONTH(ahoj+4)=9),ahoj+4, "")</f>
        <v>45541</v>
      </c>
      <c r="AN25" s="16"/>
      <c r="AO25" s="17">
        <f>IF(AND(YEAR(ahoj+5)=Rok,MONTH(ahoj+5)=9),ahoj+5, "")</f>
        <v>45542</v>
      </c>
      <c r="AP25" s="17">
        <f>IF(AND(YEAR(ahoj+6)=Rok,MONTH(ahoj+6)=9),ahoj+6, "")</f>
        <v>45543</v>
      </c>
      <c r="AQ25" s="23">
        <v>36</v>
      </c>
      <c r="AS25" s="19">
        <f>IF(AND(YEAR(ZZ)=Rok,MONTH(ZZ)=12),ZZ, "")</f>
        <v>45628</v>
      </c>
      <c r="AT25" s="19"/>
      <c r="AU25" s="16">
        <f>IF(AND(YEAR(ZZ+1)=Rok,MONTH(ZZ+1)=12),ZZ+1, "")</f>
        <v>45629</v>
      </c>
      <c r="AV25" s="16"/>
      <c r="AW25" s="16">
        <f>IF(AND(YEAR(ZZ+2)=Rok,MONTH(ZZ+2)=12),ZZ+2, "")</f>
        <v>45630</v>
      </c>
      <c r="AX25" s="16"/>
      <c r="AY25" s="16">
        <f>IF(AND(YEAR(ZZ+3)=Rok,MONTH(ZZ+3)=12),ZZ+3, "")</f>
        <v>45631</v>
      </c>
      <c r="AZ25" s="16"/>
      <c r="BA25" s="16">
        <f>IF(AND(YEAR(ZZ+4)=Rok,MONTH(ZZ+4)=12),ZZ+4, "")</f>
        <v>45632</v>
      </c>
      <c r="BB25" s="16"/>
      <c r="BC25" s="17">
        <f>IF(AND(YEAR(ZZ+5)=Rok,MONTH(ZZ+5)=12),ZZ+5, "")</f>
        <v>45633</v>
      </c>
      <c r="BD25" s="17">
        <f>IF(AND(YEAR(ZZ+6)=Rok,MONTH(ZZ+6)=12),ZZ+6, "")</f>
        <v>45634</v>
      </c>
      <c r="BE25" s="23">
        <v>49</v>
      </c>
    </row>
    <row r="26" spans="3:57" ht="18" customHeight="1" x14ac:dyDescent="0.25">
      <c r="C26" s="16">
        <f>IF(AND(YEAR(ne2br+14)=Rok,MONTH(ne2br+14)=3),ne2br+14, "")</f>
        <v>45362</v>
      </c>
      <c r="D26" s="16"/>
      <c r="E26" s="16">
        <f>IF(AND(YEAR(ne2br+15)=Rok,MONTH(ne2br+15)=3),ne2br+15, "")</f>
        <v>45363</v>
      </c>
      <c r="F26" s="16"/>
      <c r="G26" s="16">
        <f>IF(AND(YEAR(ne2br+16)=Rok,MONTH(ne2br+16)=3),ne2br+16, "")</f>
        <v>45364</v>
      </c>
      <c r="H26" s="16"/>
      <c r="I26" s="16">
        <f>IF(AND(YEAR(ne2br+17)=Rok,MONTH(ne2br+17)=3),ne2br+17, "")</f>
        <v>45365</v>
      </c>
      <c r="J26" s="16"/>
      <c r="K26" s="16">
        <f>IF(AND(YEAR(ne2br+18)=Rok,MONTH(ne2br+18)=3),ne2br+18, "")</f>
        <v>45366</v>
      </c>
      <c r="L26" s="16"/>
      <c r="M26" s="17">
        <f>IF(AND(YEAR(ne2br+19)=Rok,MONTH(ne2br+19)=3),ne2br+19, "")</f>
        <v>45367</v>
      </c>
      <c r="N26" s="17">
        <f>IF(AND(YEAR(ne2br+20)=Rok,MONTH(ne2br+20)=3),ne2br+20, "")</f>
        <v>45368</v>
      </c>
      <c r="O26" s="18">
        <v>11</v>
      </c>
      <c r="Q26" s="19">
        <f>IF(AND(YEAR(aaaaa+14)=Rok,MONTH(aaaaa+14)=6),aaaaa+14, "")</f>
        <v>45453</v>
      </c>
      <c r="R26" s="19"/>
      <c r="S26" s="16">
        <f>IF(AND(YEAR(aaaaa+15)=Rok,MONTH(aaaaa+15)=6),aaaaa+15, "")</f>
        <v>45454</v>
      </c>
      <c r="T26" s="16"/>
      <c r="U26" s="16">
        <f>IF(AND(YEAR(aaaaa+16)=Rok,MONTH(aaaaa+16)=6),aaaaa+16, "")</f>
        <v>45455</v>
      </c>
      <c r="V26" s="16"/>
      <c r="W26" s="53">
        <f>IF(AND(YEAR(aaaaa+17)=Rok,MONTH(aaaaa+17)=6),aaaaa+17, "")</f>
        <v>45456</v>
      </c>
      <c r="X26" s="53"/>
      <c r="Y26" s="16">
        <f>IF(AND(YEAR(aaaaa+18)=Rok,MONTH(aaaaa+18)=6),aaaaa+18, "")</f>
        <v>45457</v>
      </c>
      <c r="Z26" s="16"/>
      <c r="AA26" s="17">
        <f>IF(AND(YEAR(aaaaa+19)=Rok,MONTH(aaaaa+19)=6),aaaaa+19, "")</f>
        <v>45458</v>
      </c>
      <c r="AB26" s="17">
        <f>IF(AND(YEAR(aaaaa+20)=Rok,MONTH(aaaaa+20)=6),aaaaa+20, "")</f>
        <v>45459</v>
      </c>
      <c r="AC26" s="18">
        <v>24</v>
      </c>
      <c r="AE26" s="19">
        <f>IF(AND(YEAR(ahoj+7)=Rok,MONTH(ahoj+7)=9),ahoj+7, "")</f>
        <v>45544</v>
      </c>
      <c r="AF26" s="19"/>
      <c r="AG26" s="16">
        <f>IF(AND(YEAR(ahoj+8)=Rok,MONTH(ahoj+8)=9),ahoj+8, "")</f>
        <v>45545</v>
      </c>
      <c r="AH26" s="16"/>
      <c r="AI26" s="16">
        <f>IF(AND(YEAR(ahoj+9)=Rok,MONTH(ahoj+9)=9),ahoj+9, "")</f>
        <v>45546</v>
      </c>
      <c r="AJ26" s="16"/>
      <c r="AK26" s="16">
        <f>IF(AND(YEAR(ahoj+10)=Rok,MONTH(ahoj+10)=9),ahoj+10, "")</f>
        <v>45547</v>
      </c>
      <c r="AL26" s="16"/>
      <c r="AM26" s="16">
        <f>IF(AND(YEAR(ahoj+11)=Rok,MONTH(ahoj+11)=9),ahoj+11, "")</f>
        <v>45548</v>
      </c>
      <c r="AN26" s="16"/>
      <c r="AO26" s="17">
        <f>IF(AND(YEAR(ahoj+12)=Rok,MONTH(ahoj+12)=9),ahoj+12, "")</f>
        <v>45549</v>
      </c>
      <c r="AP26" s="17">
        <f>IF(AND(YEAR(ahoj+13)=Rok,MONTH(ahoj+13)=9),ahoj+13, "")</f>
        <v>45550</v>
      </c>
      <c r="AQ26" s="23">
        <v>37</v>
      </c>
      <c r="AS26" s="19">
        <f>IF(AND(YEAR(ZZ+7)=Rok,MONTH(ZZ+7)=12),ZZ+7, "")</f>
        <v>45635</v>
      </c>
      <c r="AT26" s="19"/>
      <c r="AU26" s="24">
        <f>IF(AND(YEAR(ZZ+8)=Rok,MONTH(ZZ+8)=12),ZZ+8, "")</f>
        <v>45636</v>
      </c>
      <c r="AV26" s="24"/>
      <c r="AW26" s="16">
        <f>IF(AND(YEAR(ZZ+9)=Rok,MONTH(ZZ+9)=12),ZZ+9, "")</f>
        <v>45637</v>
      </c>
      <c r="AX26" s="16"/>
      <c r="AY26" s="16">
        <f>IF(AND(YEAR(ZZ+10)=Rok,MONTH(ZZ+10)=12),ZZ+10, "")</f>
        <v>45638</v>
      </c>
      <c r="AZ26" s="16"/>
      <c r="BA26" s="16">
        <f>IF(AND(YEAR(ZZ+11)=Rok,MONTH(ZZ+11)=12),ZZ+11, "")</f>
        <v>45639</v>
      </c>
      <c r="BB26" s="16"/>
      <c r="BC26" s="17">
        <f>IF(AND(YEAR(ZZ+12)=Rok,MONTH(ZZ+12)=12),ZZ+12, "")</f>
        <v>45640</v>
      </c>
      <c r="BD26" s="17">
        <f>IF(AND(YEAR(ZZ+13)=Rok,MONTH(ZZ+13)=12),ZZ+13, "")</f>
        <v>45641</v>
      </c>
      <c r="BE26" s="23">
        <v>50</v>
      </c>
    </row>
    <row r="27" spans="3:57" ht="18" customHeight="1" thickBot="1" x14ac:dyDescent="0.3">
      <c r="C27" s="16">
        <f>IF(AND(YEAR(ne2br+21)=Rok,MONTH(ne2br+21)=3),ne2br+21, "")</f>
        <v>45369</v>
      </c>
      <c r="D27" s="16"/>
      <c r="E27" s="16">
        <f>IF(AND(YEAR(ne2br+22)=Rok,MONTH(ne2br+22)=3),ne2br+22, "")</f>
        <v>45370</v>
      </c>
      <c r="F27" s="16"/>
      <c r="G27" s="16">
        <f>IF(AND(YEAR(ne2br+23)=Rok,MONTH(ne2br+23)=3),ne2br+23, "")</f>
        <v>45371</v>
      </c>
      <c r="H27" s="16"/>
      <c r="I27" s="16">
        <f>IF(AND(YEAR(ne2br+24)=Rok,MONTH(ne2br+24)=3),ne2br+24, "")</f>
        <v>45372</v>
      </c>
      <c r="J27" s="16"/>
      <c r="K27" s="16">
        <f>IF(AND(YEAR(ne2br+25)=Rok,MONTH(ne2br+25)=3),ne2br+25, "")</f>
        <v>45373</v>
      </c>
      <c r="L27" s="16"/>
      <c r="M27" s="17">
        <f>IF(AND(YEAR(ne2br+26)=Rok,MONTH(ne2br+26)=3),ne2br+26, "")</f>
        <v>45374</v>
      </c>
      <c r="N27" s="17">
        <f>IF(AND(YEAR(ne2br+27)=Rok,MONTH(ne2br+27)=3),ne2br+27, "")</f>
        <v>45375</v>
      </c>
      <c r="O27" s="18">
        <v>12</v>
      </c>
      <c r="Q27" s="19">
        <f>IF(AND(YEAR(aaaaa+21)=Rok,MONTH(aaaaa+21)=6),aaaaa+21, "")</f>
        <v>45460</v>
      </c>
      <c r="R27" s="19"/>
      <c r="S27" s="16">
        <f>IF(AND(YEAR(aaaaa+22)=Rok,MONTH(aaaaa+22)=6),aaaaa+22, "")</f>
        <v>45461</v>
      </c>
      <c r="T27" s="16"/>
      <c r="U27" s="16">
        <f>IF(AND(YEAR(aaaaa+23)=Rok,MONTH(aaaaa+23)=6),aaaaa+23, "")</f>
        <v>45462</v>
      </c>
      <c r="V27" s="16"/>
      <c r="W27" s="16">
        <f>IF(AND(YEAR(aaaaa+24)=Rok,MONTH(aaaaa+24)=6),aaaaa+24, "")</f>
        <v>45463</v>
      </c>
      <c r="X27" s="16"/>
      <c r="Y27" s="16">
        <f>IF(AND(YEAR(aaaaa+25)=Rok,MONTH(aaaaa+25)=6),aaaaa+25, "")</f>
        <v>45464</v>
      </c>
      <c r="Z27" s="16"/>
      <c r="AA27" s="17">
        <f>IF(AND(YEAR(aaaaa+26)=Rok,MONTH(aaaaa+26)=6),aaaaa+26, "")</f>
        <v>45465</v>
      </c>
      <c r="AB27" s="17">
        <f>IF(AND(YEAR(aaaaa+27)=Rok,MONTH(aaaaa+27)=6),aaaaa+27, "")</f>
        <v>45466</v>
      </c>
      <c r="AC27" s="18">
        <v>25</v>
      </c>
      <c r="AE27" s="19">
        <f>IF(AND(YEAR(ahoj+14)=Rok,MONTH(ahoj+14)=9),ahoj+14, "")</f>
        <v>45551</v>
      </c>
      <c r="AF27" s="19"/>
      <c r="AG27" s="24">
        <f>IF(AND(YEAR(ahoj+15)=Rok,MONTH(ahoj+15)=9),ahoj+15, "")</f>
        <v>45552</v>
      </c>
      <c r="AH27" s="24"/>
      <c r="AI27" s="16">
        <f>IF(AND(YEAR(ahoj+16)=Rok,MONTH(ahoj+16)=9),ahoj+16, "")</f>
        <v>45553</v>
      </c>
      <c r="AJ27" s="16"/>
      <c r="AK27" s="16">
        <f>IF(AND(YEAR(ahoj+17)=Rok,MONTH(ahoj+17)=9),ahoj+17, "")</f>
        <v>45554</v>
      </c>
      <c r="AL27" s="16"/>
      <c r="AM27" s="16">
        <f>IF(AND(YEAR(ahoj+18)=Rok,MONTH(ahoj+18)=9),ahoj+18, "")</f>
        <v>45555</v>
      </c>
      <c r="AN27" s="16"/>
      <c r="AO27" s="17">
        <f>IF(AND(YEAR(ahoj+19)=Rok,MONTH(ahoj+19)=9),ahoj+19, "")</f>
        <v>45556</v>
      </c>
      <c r="AP27" s="17">
        <f>IF(AND(YEAR(ahoj+20)=Rok,MONTH(ahoj+20)=9),ahoj+20, "")</f>
        <v>45557</v>
      </c>
      <c r="AQ27" s="23">
        <v>38</v>
      </c>
      <c r="AS27" s="19">
        <f>IF(AND(YEAR(ZZ+14)=Rok,MONTH(ZZ+14)=12),ZZ+14, "")</f>
        <v>45642</v>
      </c>
      <c r="AT27" s="19"/>
      <c r="AU27" s="16">
        <f>IF(AND(YEAR(ZZ+15)=Rok,MONTH(ZZ+15)=12),ZZ+15, "")</f>
        <v>45643</v>
      </c>
      <c r="AV27" s="16"/>
      <c r="AW27" s="16">
        <f>IF(AND(YEAR(ZZ+16)=Rok,MONTH(ZZ+16)=12),ZZ+16, "")</f>
        <v>45644</v>
      </c>
      <c r="AX27" s="16"/>
      <c r="AY27" s="42">
        <f>IF(AND(YEAR(ZZ+17)=Rok,MONTH(ZZ+17)=12),ZZ+17, "")</f>
        <v>45645</v>
      </c>
      <c r="AZ27" s="42"/>
      <c r="BA27" s="16">
        <f>IF(AND(YEAR(ZZ+18)=Rok,MONTH(ZZ+18)=12),ZZ+18, "")</f>
        <v>45646</v>
      </c>
      <c r="BB27" s="16"/>
      <c r="BC27" s="17">
        <f>IF(AND(YEAR(ZZ+19)=Rok,MONTH(ZZ+19)=12),ZZ+19, "")</f>
        <v>45647</v>
      </c>
      <c r="BD27" s="17">
        <f>IF(AND(YEAR(ZZ+20)=Rok,MONTH(ZZ+20)=12),ZZ+20, "")</f>
        <v>45648</v>
      </c>
      <c r="BE27" s="23">
        <v>51</v>
      </c>
    </row>
    <row r="28" spans="3:57" ht="18" customHeight="1" thickTop="1" thickBot="1" x14ac:dyDescent="0.3">
      <c r="C28" s="16">
        <f>IF(AND(YEAR(ne2br+28)=Rok,MONTH(ne2br+28)=3),ne2br+28, "")</f>
        <v>45376</v>
      </c>
      <c r="D28" s="16"/>
      <c r="E28" s="16">
        <f>IF(AND(YEAR(ne2br+29)=Rok,MONTH(ne2br+29)=3),ne2br+29, "")</f>
        <v>45377</v>
      </c>
      <c r="F28" s="16"/>
      <c r="G28" s="16">
        <f>IF(AND(YEAR(ne2br+30)=Rok,MONTH(ne2br+30)=3),ne2br+30, "")</f>
        <v>45378</v>
      </c>
      <c r="H28" s="16"/>
      <c r="I28" s="16">
        <f>IF(AND(YEAR(ne2br+31)=Rok,MONTH(ne2br+31)=3),ne2br+31, "")</f>
        <v>45379</v>
      </c>
      <c r="J28" s="16"/>
      <c r="K28" s="15">
        <f>IF(AND(YEAR(ne2br+32)=Rok,MONTH(ne2br+32)=3),ne2br+32, "")</f>
        <v>45380</v>
      </c>
      <c r="L28" s="15"/>
      <c r="M28" s="17">
        <f>IF(AND(YEAR(ne2br+33)=Rok,MONTH(ne2br+33)=3),ne2br+33, "")</f>
        <v>45381</v>
      </c>
      <c r="N28" s="17">
        <f>IF(AND(YEAR(ne2br+34)=Rok,MONTH(ne2br+34)=3),ne2br+34, "")</f>
        <v>45382</v>
      </c>
      <c r="O28" s="18">
        <v>13</v>
      </c>
      <c r="Q28" s="19">
        <f>IF(AND(YEAR(aaaaa+28)=Rok,MONTH(aaaaa+28)=6),aaaaa+28, "")</f>
        <v>45467</v>
      </c>
      <c r="R28" s="19"/>
      <c r="S28" s="24">
        <f>IF(AND(YEAR(aaaaa+29)=Rok,MONTH(aaaaa+29)=6),aaaaa+29, "")</f>
        <v>45468</v>
      </c>
      <c r="T28" s="24"/>
      <c r="U28" s="16">
        <f>IF(AND(YEAR(aaaaa+30)=Rok,MONTH(aaaaa+30)=6),aaaaa+30, "")</f>
        <v>45469</v>
      </c>
      <c r="V28" s="16"/>
      <c r="W28" s="16">
        <f>IF(AND(YEAR(aaaaa+31)=Rok,MONTH(aaaaa+31)=6),aaaaa+31, "")</f>
        <v>45470</v>
      </c>
      <c r="X28" s="16"/>
      <c r="Y28" s="16">
        <f>IF(AND(YEAR(aaaaa+32)=Rok,MONTH(aaaaa+32)=6),aaaaa+32, "")</f>
        <v>45471</v>
      </c>
      <c r="Z28" s="16"/>
      <c r="AA28" s="17">
        <f>IF(AND(YEAR(aaaaa+33)=Rok,MONTH(aaaaa+33)=6),aaaaa+33, "")</f>
        <v>45472</v>
      </c>
      <c r="AB28" s="17">
        <f>IF(AND(YEAR(aaaaa+34)=Rok,MONTH(aaaaa+34)=6),aaaaa+34, "")</f>
        <v>45473</v>
      </c>
      <c r="AC28" s="18">
        <v>26</v>
      </c>
      <c r="AE28" s="19">
        <f>IF(AND(YEAR(ahoj+21)=Rok,MONTH(ahoj+21)=9),ahoj+21, "")</f>
        <v>45558</v>
      </c>
      <c r="AF28" s="19"/>
      <c r="AG28" s="16">
        <f>IF(AND(YEAR(ahoj+22)=Rok,MONTH(ahoj+22)=9),ahoj+22, "")</f>
        <v>45559</v>
      </c>
      <c r="AH28" s="16"/>
      <c r="AI28" s="16">
        <f>IF(AND(YEAR(ahoj+23)=Rok,MONTH(ahoj+23)=9),ahoj+23, "")</f>
        <v>45560</v>
      </c>
      <c r="AJ28" s="16"/>
      <c r="AK28" s="16">
        <f>IF(AND(YEAR(ahoj+24)=Rok,MONTH(ahoj+24)=9),ahoj+24, "")</f>
        <v>45561</v>
      </c>
      <c r="AL28" s="16"/>
      <c r="AM28" s="16">
        <f>IF(AND(YEAR(ahoj+25)=Rok,MONTH(ahoj+25)=9),ahoj+25, "")</f>
        <v>45562</v>
      </c>
      <c r="AN28" s="16"/>
      <c r="AO28" s="20">
        <f>IF(AND(YEAR(ahoj+26)=Rok,MONTH(ahoj+26)=9),ahoj+26, "")</f>
        <v>45563</v>
      </c>
      <c r="AP28" s="17">
        <f>IF(AND(YEAR(ahoj+27)=Rok,MONTH(ahoj+27)=9),ahoj+27, "")</f>
        <v>45564</v>
      </c>
      <c r="AQ28" s="23">
        <v>39</v>
      </c>
      <c r="AS28" s="19">
        <f>IF(AND(YEAR(ZZ+21)=Rok,MONTH(ZZ+21)=12),ZZ+21, "")</f>
        <v>45649</v>
      </c>
      <c r="AT28" s="19"/>
      <c r="AU28" s="15">
        <f>IF(AND(YEAR(ZZ+22)=Rok,MONTH(ZZ+22)=12),ZZ+22, "")</f>
        <v>45650</v>
      </c>
      <c r="AV28" s="15"/>
      <c r="AW28" s="15">
        <f>IF(AND(YEAR(ZZ+23)=Rok,MONTH(ZZ+23)=12),ZZ+23, "")</f>
        <v>45651</v>
      </c>
      <c r="AX28" s="43"/>
      <c r="AY28" s="61">
        <f>IF(AND(YEAR(ZZ+24)=Rok,MONTH(ZZ+24)=12),ZZ+24, "")</f>
        <v>45652</v>
      </c>
      <c r="AZ28" s="62"/>
      <c r="BA28" s="26">
        <f>IF(AND(YEAR(ZZ+25)=Rok,MONTH(ZZ+25)=12),ZZ+25, "")</f>
        <v>45653</v>
      </c>
      <c r="BB28" s="16"/>
      <c r="BC28" s="17">
        <f>IF(AND(YEAR(ZZ+26)=Rok,MONTH(ZZ+26)=12),ZZ+26, "")</f>
        <v>45654</v>
      </c>
      <c r="BD28" s="17">
        <f>IF(AND(YEAR(ZZ+27)=Rok,MONTH(ZZ+27)=12),ZZ+27, "")</f>
        <v>45655</v>
      </c>
      <c r="BE28" s="23">
        <v>52</v>
      </c>
    </row>
    <row r="29" spans="3:57" ht="18" customHeight="1" thickTop="1" x14ac:dyDescent="0.25">
      <c r="C29" s="31" t="str">
        <f>IF(AND(YEAR(ne2br+35)=Rok,MONTH(ne2br+35)=3),ne2br+35, "")</f>
        <v/>
      </c>
      <c r="D29" s="32"/>
      <c r="E29" s="31" t="str">
        <f>IF(AND(YEAR(ne2br+36)=Rok,MONTH(ne2br+36)=3),ne2br+36, "")</f>
        <v/>
      </c>
      <c r="F29" s="32"/>
      <c r="G29" s="31" t="str">
        <f>IF(AND(YEAR(ne2br+37)=Rok,MONTH(ne2br+37)=3),ne2br+37, "")</f>
        <v/>
      </c>
      <c r="H29" s="32"/>
      <c r="I29" s="31" t="str">
        <f>IF(AND(YEAR(ne2br+38)=Rok,MONTH(ne2br+38)=3),ne2br+38, "")</f>
        <v/>
      </c>
      <c r="J29" s="32"/>
      <c r="K29" s="31" t="str">
        <f>IF(AND(YEAR(ne2br+39)=Rok,MONTH(ne2br+39)=3),ne2br+39, "")</f>
        <v/>
      </c>
      <c r="L29" s="32"/>
      <c r="M29" s="30" t="str">
        <f>IF(AND(YEAR(ne2br+40)=Rok,MONTH(ne2br+40)=3),ne2br+40, "")</f>
        <v/>
      </c>
      <c r="N29" s="30" t="str">
        <f>IF(AND(YEAR(ne2br+41)=Rok,MONTH(ne2br+41)=3),ne2br+41, "")</f>
        <v/>
      </c>
      <c r="O29" s="30"/>
      <c r="Q29" s="31" t="str">
        <f>IF(AND(YEAR(aaaaa+35)=Rok,MONTH(aaaaa+35)=6),aaaaa+35, "")</f>
        <v/>
      </c>
      <c r="R29" s="32"/>
      <c r="S29" s="31" t="str">
        <f>IF(AND(YEAR(aaaaa+36)=Rok,MONTH(aaaaa+36)=6),aaaaa+36, "")</f>
        <v/>
      </c>
      <c r="T29" s="32"/>
      <c r="U29" s="31" t="str">
        <f>IF(AND(YEAR(aaaaa+37)=Rok,MONTH(aaaaa+37)=6),aaaaa+37, "")</f>
        <v/>
      </c>
      <c r="V29" s="32"/>
      <c r="W29" s="31" t="str">
        <f>IF(AND(YEAR(aaaaa+38)=Rok,MONTH(aaaaa+38)=6),aaaaa+38, "")</f>
        <v/>
      </c>
      <c r="X29" s="32"/>
      <c r="Y29" s="31" t="str">
        <f>IF(AND(YEAR(aaaaa+39)=Rok,MONTH(aaaaa+39)=6),aaaaa+39, "")</f>
        <v/>
      </c>
      <c r="Z29" s="32"/>
      <c r="AA29" s="30" t="str">
        <f>IF(AND(YEAR(aaaaa+40)=Rok,MONTH(aaaaa+40)=6),aaaaa+40, "")</f>
        <v/>
      </c>
      <c r="AB29" s="30" t="str">
        <f>IF(AND(YEAR(aaaaa+41)=Rok,MONTH(aaaaa+41)=6),aaaaa+41, "")</f>
        <v/>
      </c>
      <c r="AC29" s="30"/>
      <c r="AE29" s="19">
        <f>IF(AND(YEAR(ahoj+28)=Rok,MONTH(ahoj+28)=9),ahoj+28, "")</f>
        <v>45565</v>
      </c>
      <c r="AF29" s="19"/>
      <c r="AG29" s="25" t="str">
        <f>IF(AND(YEAR(ahoj+29)=Rok,MONTH(ahoj+29)=9),ahoj+29, "")</f>
        <v/>
      </c>
      <c r="AH29" s="26"/>
      <c r="AI29" s="25" t="str">
        <f>IF(AND(YEAR(ahoj+30)=Rok,MONTH(ahoj+30)=9),ahoj+30, "")</f>
        <v/>
      </c>
      <c r="AJ29" s="26"/>
      <c r="AK29" s="25" t="str">
        <f>IF(AND(YEAR(ahoj+31)=Rok,MONTH(ahoj+31)=9),ahoj+31, "")</f>
        <v/>
      </c>
      <c r="AL29" s="26"/>
      <c r="AM29" s="25" t="str">
        <f>IF(AND(YEAR(ahoj+32)=Rok,MONTH(ahoj+32)=9),ahoj+32, "")</f>
        <v/>
      </c>
      <c r="AN29" s="26"/>
      <c r="AO29" s="27" t="str">
        <f>IF(AND(YEAR(ahoj+33)=Rok,MONTH(ahoj+33)=9),ahoj+33, "")</f>
        <v/>
      </c>
      <c r="AP29" s="30" t="str">
        <f>IF(AND(YEAR(ahoj+34)=Rok,MONTH(ahoj+34)=9),ahoj+34, "")</f>
        <v/>
      </c>
      <c r="AQ29" s="23">
        <v>40</v>
      </c>
      <c r="AS29" s="19">
        <f>IF(AND(YEAR(ZZ+28)=Rok,MONTH(ZZ+28)=12),ZZ+28, "")</f>
        <v>45656</v>
      </c>
      <c r="AT29" s="19"/>
      <c r="AU29" s="24">
        <f>IF(AND(YEAR(ZZ+29)=Rok,MONTH(ZZ+29)=12),ZZ+29, "")</f>
        <v>45657</v>
      </c>
      <c r="AV29" s="24"/>
      <c r="AW29" s="25" t="str">
        <f>IF(AND(YEAR(ZZ+30)=Rok,MONTH(ZZ+30)=12),ZZ+30, "")</f>
        <v/>
      </c>
      <c r="AX29" s="26"/>
      <c r="AY29" s="44" t="str">
        <f>IF(AND(YEAR(ZZ+31)=Rok,MONTH(ZZ+31)=12),ZZ+31, "")</f>
        <v/>
      </c>
      <c r="AZ29" s="45"/>
      <c r="BA29" s="25" t="str">
        <f>IF(AND(YEAR(ZZ+32)=Rok,MONTH(ZZ+32)=12),ZZ+32, "")</f>
        <v/>
      </c>
      <c r="BB29" s="26"/>
      <c r="BC29" s="27" t="str">
        <f>IF(AND(YEAR(ZZ+33)=Rok,MONTH(ZZ+33)=12),ZZ+33, "")</f>
        <v/>
      </c>
      <c r="BD29" s="27" t="str">
        <f>IF(AND(YEAR(ZZ+34)=Rok,MONTH(ZZ+34)=12),ZZ+34, "")</f>
        <v/>
      </c>
      <c r="BE29" s="23">
        <v>1</v>
      </c>
    </row>
    <row r="32" spans="3:57" ht="18" customHeight="1" x14ac:dyDescent="0.4">
      <c r="E32" s="46"/>
      <c r="F32" s="46"/>
    </row>
    <row r="33" spans="5:22" ht="18" customHeight="1" x14ac:dyDescent="0.4">
      <c r="E33" s="47" t="s">
        <v>21</v>
      </c>
      <c r="F33" s="47"/>
      <c r="G33" t="s">
        <v>22</v>
      </c>
    </row>
    <row r="34" spans="5:22" ht="18" customHeight="1" x14ac:dyDescent="0.4">
      <c r="E34" s="47" t="s">
        <v>21</v>
      </c>
      <c r="F34" s="47"/>
      <c r="G34" t="s">
        <v>23</v>
      </c>
    </row>
    <row r="35" spans="5:22" ht="18" customHeight="1" x14ac:dyDescent="0.4">
      <c r="E35" s="52" t="s">
        <v>21</v>
      </c>
      <c r="F35" s="52"/>
      <c r="G35" t="s">
        <v>24</v>
      </c>
    </row>
    <row r="36" spans="5:22" ht="18" customHeight="1" x14ac:dyDescent="0.4">
      <c r="E36" s="52" t="s">
        <v>21</v>
      </c>
      <c r="F36" s="52"/>
      <c r="G36" t="s">
        <v>25</v>
      </c>
    </row>
    <row r="37" spans="5:22" ht="18" customHeight="1" x14ac:dyDescent="0.4">
      <c r="E37" s="48" t="s">
        <v>21</v>
      </c>
      <c r="F37" s="48"/>
      <c r="G37" t="s">
        <v>26</v>
      </c>
    </row>
    <row r="38" spans="5:22" ht="18" customHeight="1" x14ac:dyDescent="0.4">
      <c r="E38" s="49" t="s">
        <v>21</v>
      </c>
      <c r="F38" s="49"/>
      <c r="G38" t="s">
        <v>27</v>
      </c>
    </row>
    <row r="39" spans="5:22" ht="18" customHeight="1" x14ac:dyDescent="0.4">
      <c r="E39" s="46"/>
      <c r="F39" s="46"/>
    </row>
    <row r="40" spans="5:22" ht="18" customHeight="1" x14ac:dyDescent="0.4">
      <c r="E40" s="46"/>
      <c r="F40" s="46"/>
      <c r="G40" s="50"/>
      <c r="H40" s="50"/>
      <c r="O40" s="50"/>
      <c r="U40" s="50"/>
      <c r="V40" s="50"/>
    </row>
    <row r="41" spans="5:22" ht="18" customHeight="1" x14ac:dyDescent="0.4">
      <c r="E41" s="46"/>
      <c r="F41" s="46"/>
      <c r="G41" s="51"/>
      <c r="H41" s="51"/>
      <c r="N41" s="46"/>
      <c r="O41" s="51"/>
      <c r="S41" s="46"/>
      <c r="T41" s="46"/>
    </row>
    <row r="42" spans="5:22" ht="18" customHeight="1" x14ac:dyDescent="0.4">
      <c r="E42" s="46"/>
      <c r="F42" s="46"/>
      <c r="N42" s="46"/>
      <c r="S42" s="46"/>
      <c r="T42" s="46"/>
    </row>
    <row r="43" spans="5:22" ht="18" customHeight="1" x14ac:dyDescent="0.4">
      <c r="E43" s="46"/>
      <c r="F43" s="46"/>
      <c r="N43" s="46"/>
      <c r="S43" s="46"/>
      <c r="T43" s="46"/>
    </row>
    <row r="44" spans="5:22" ht="18" customHeight="1" x14ac:dyDescent="0.4">
      <c r="E44" s="46"/>
      <c r="F44" s="46"/>
      <c r="N44" s="46"/>
      <c r="S44" s="46"/>
      <c r="T44" s="46"/>
    </row>
    <row r="45" spans="5:22" ht="18" customHeight="1" x14ac:dyDescent="0.4">
      <c r="E45" s="46"/>
      <c r="F45" s="46"/>
      <c r="N45" s="46"/>
      <c r="S45" s="46"/>
      <c r="T45" s="46"/>
    </row>
    <row r="46" spans="5:22" ht="18" customHeight="1" x14ac:dyDescent="0.4">
      <c r="E46" s="46"/>
      <c r="F46" s="46"/>
      <c r="N46" s="46"/>
      <c r="S46" s="46"/>
      <c r="T46" s="46"/>
    </row>
    <row r="47" spans="5:22" ht="18" customHeight="1" x14ac:dyDescent="0.4">
      <c r="E47" s="46"/>
      <c r="F47" s="46"/>
      <c r="N47" s="46"/>
      <c r="S47" s="46"/>
      <c r="T47" s="46"/>
    </row>
    <row r="48" spans="5:22" ht="18" customHeight="1" x14ac:dyDescent="0.4">
      <c r="E48" s="46"/>
      <c r="F48" s="46"/>
      <c r="N48" s="46"/>
      <c r="S48" s="46"/>
      <c r="T48" s="46"/>
    </row>
    <row r="49" spans="5:20" ht="18" customHeight="1" x14ac:dyDescent="0.4">
      <c r="E49" s="46"/>
      <c r="F49" s="46"/>
      <c r="N49" s="46"/>
      <c r="S49" s="46"/>
      <c r="T49" s="46"/>
    </row>
    <row r="50" spans="5:20" ht="18" customHeight="1" x14ac:dyDescent="0.4">
      <c r="E50" s="46"/>
      <c r="F50" s="46"/>
      <c r="N50" s="46"/>
      <c r="S50" s="46"/>
      <c r="T50" s="46"/>
    </row>
    <row r="51" spans="5:20" ht="18" customHeight="1" x14ac:dyDescent="0.4">
      <c r="E51" s="46"/>
      <c r="F51" s="46"/>
      <c r="N51" s="46"/>
      <c r="S51" s="46"/>
      <c r="T51" s="46"/>
    </row>
    <row r="52" spans="5:20" ht="18" customHeight="1" x14ac:dyDescent="0.4">
      <c r="E52" s="46"/>
      <c r="F52" s="46"/>
      <c r="N52" s="46"/>
      <c r="S52" s="46"/>
      <c r="T52" s="46"/>
    </row>
    <row r="53" spans="5:20" ht="18" customHeight="1" x14ac:dyDescent="0.4">
      <c r="E53" s="46"/>
      <c r="F53" s="46"/>
      <c r="N53" s="46"/>
      <c r="S53" s="46"/>
      <c r="T53" s="46"/>
    </row>
    <row r="54" spans="5:20" ht="18" customHeight="1" x14ac:dyDescent="0.4">
      <c r="E54" s="46"/>
      <c r="F54" s="46"/>
      <c r="N54" s="46"/>
      <c r="S54" s="46"/>
      <c r="T54" s="46"/>
    </row>
    <row r="55" spans="5:20" ht="18" customHeight="1" x14ac:dyDescent="0.4">
      <c r="E55" s="46"/>
      <c r="F55" s="46"/>
      <c r="N55" s="46"/>
      <c r="S55" s="46"/>
      <c r="T55" s="46"/>
    </row>
    <row r="56" spans="5:20" ht="18" customHeight="1" x14ac:dyDescent="0.4">
      <c r="E56" s="46"/>
      <c r="F56" s="46"/>
      <c r="N56" s="46"/>
      <c r="S56" s="46"/>
      <c r="T56" s="46"/>
    </row>
    <row r="57" spans="5:20" ht="18" customHeight="1" x14ac:dyDescent="0.4">
      <c r="E57" s="46"/>
      <c r="F57" s="46"/>
      <c r="N57" s="46"/>
      <c r="S57" s="46"/>
      <c r="T57" s="46"/>
    </row>
    <row r="58" spans="5:20" ht="18" customHeight="1" x14ac:dyDescent="0.4">
      <c r="N58" s="46"/>
    </row>
    <row r="59" spans="5:20" ht="18" customHeight="1" x14ac:dyDescent="0.4">
      <c r="N59" s="46"/>
    </row>
    <row r="60" spans="5:20" ht="18" customHeight="1" x14ac:dyDescent="0.4">
      <c r="N60" s="46"/>
    </row>
    <row r="61" spans="5:20" ht="18" customHeight="1" x14ac:dyDescent="0.4">
      <c r="N61" s="46"/>
    </row>
    <row r="62" spans="5:20" ht="18" customHeight="1" x14ac:dyDescent="0.4">
      <c r="N62" s="46"/>
    </row>
    <row r="63" spans="5:20" ht="18" customHeight="1" x14ac:dyDescent="0.4">
      <c r="N63" s="46"/>
    </row>
    <row r="64" spans="5:20" ht="18" customHeight="1" x14ac:dyDescent="0.4">
      <c r="N64" s="46"/>
    </row>
    <row r="65" spans="14:14" ht="18" customHeight="1" x14ac:dyDescent="0.4">
      <c r="N65" s="46"/>
    </row>
    <row r="66" spans="14:14" ht="18" customHeight="1" x14ac:dyDescent="0.4">
      <c r="N66" s="46"/>
    </row>
  </sheetData>
  <mergeCells count="14">
    <mergeCell ref="B1:BF1"/>
    <mergeCell ref="C2:BD2"/>
    <mergeCell ref="C3:N3"/>
    <mergeCell ref="Q3:AB3"/>
    <mergeCell ref="AE3:AP3"/>
    <mergeCell ref="AS3:BD3"/>
    <mergeCell ref="C13:N13"/>
    <mergeCell ref="Q13:AB13"/>
    <mergeCell ref="AE13:AP13"/>
    <mergeCell ref="AS13:BD13"/>
    <mergeCell ref="C22:N22"/>
    <mergeCell ref="Q22:AB22"/>
    <mergeCell ref="AE22:AP22"/>
    <mergeCell ref="AS22:BD22"/>
  </mergeCells>
  <dataValidations count="38">
    <dataValidation allowBlank="1" showInputMessage="1" showErrorMessage="1" prompt="Kalendář na každý měsíc se automaticky aktualizuje v buňkách B2 až AF27 po zadání roku v této buňce." sqref="C2:BE2" xr:uid="{3E1C08C4-C194-4649-9DA3-A4924102F066}"/>
    <dataValidation allowBlank="1" showInputMessage="1" showErrorMessage="1" prompt="Pomocí listu Šablona pro vytvoření kalendáře můžete vytvořit kalendář pro libovolný rok. Kalendář na každý měsíc se automaticky aktualizuje po zadaní roku do buňky vpravo." sqref="B2" xr:uid="{EC20A0F8-4FDA-411F-A991-33EE189A60A8}"/>
    <dataValidation allowBlank="1" showInputMessage="1" showErrorMessage="1" prompt="V této buňce je kalendářní měsíc. V buňkách B3 až H9 se automaticky aktualizuje kalendář na tento měsíc." sqref="C3:O3 O13 O22 AC3 AQ3 BE3 BE13 AQ13 AC13 AC22 AQ22 BE22" xr:uid="{74AFA21E-14EF-4390-97FF-1170059948BD}"/>
    <dataValidation allowBlank="1" showInputMessage="1" showErrorMessage="1" prompt="V této buňce je kalendářní měsíc. V buňkách J3 až P9 se automaticky aktualizuje kalendář na tento měsíc." sqref="Q3:AB3" xr:uid="{2B93BD43-7555-401D-A109-67317E5FC5BF}"/>
    <dataValidation allowBlank="1" showInputMessage="1" showErrorMessage="1" prompt="V této buňce je kalendářní měsíc. V buňkách R3 až X9 se automaticky aktualizuje kalendář na tento měsíc." sqref="AE3:AP3" xr:uid="{28B96709-DDCF-491D-9D68-49444D89DBA9}"/>
    <dataValidation allowBlank="1" showInputMessage="1" showErrorMessage="1" prompt="V této buňce je kalendářní měsíc. V buňkách Z3 až AF9 se automaticky aktualizuje kalendář na tento měsíc." sqref="AS3:BD3" xr:uid="{6EA51DF5-D337-45B4-B981-CC4DB046C19D}"/>
    <dataValidation allowBlank="1" showInputMessage="1" showErrorMessage="1" prompt="V této buňce je kalendářní měsíc. V buňkách B12 až H18 se automaticky aktualizuje kalendář na tento měsíc." sqref="C13:N13" xr:uid="{FD0CE79C-8702-493B-B921-F7D4486219F6}"/>
    <dataValidation allowBlank="1" showInputMessage="1" showErrorMessage="1" prompt="V této buňce je kalendářní měsíc. V buňkách B21 až H27 se automaticky aktualizuje kalendář na tento měsíc." sqref="C22:N22" xr:uid="{26AAF845-AC07-4E12-B176-3C6BDCCEC875}"/>
    <dataValidation allowBlank="1" showInputMessage="1" showErrorMessage="1" prompt="V této buňce je kalendářní měsíc. V buňkách J12 až P18 se automaticky aktualizuje kalendář na tento měsíc." sqref="Q13:AB13" xr:uid="{90FDF324-A515-4E35-873F-E7E5167AD651}"/>
    <dataValidation allowBlank="1" showInputMessage="1" showErrorMessage="1" prompt="V této buňce je kalendářní měsíc. V buňkách R12 až X18 se automaticky aktualizuje kalendář na tento měsíc." sqref="AE13:AP13" xr:uid="{FA1BF82E-464F-44F9-8B10-5004C9248F2F}"/>
    <dataValidation allowBlank="1" showInputMessage="1" showErrorMessage="1" prompt="V této buňce je kalendářní měsíc. V buňkách Z12 až AF18 se automaticky aktualizuje kalendář na tento měsíc." sqref="AS13:BD13" xr:uid="{EF5CCB44-50B4-477F-B9EF-2478799782B6}"/>
    <dataValidation allowBlank="1" showInputMessage="1" showErrorMessage="1" prompt="V této buňce je kalendářní měsíc. V buňkách J21 až P27 se automaticky aktualizuje kalendář na tento měsíc." sqref="Q22:AB22" xr:uid="{3A8D4CD3-630F-4BCE-8E6C-25B1A69AF5B6}"/>
    <dataValidation allowBlank="1" showInputMessage="1" showErrorMessage="1" prompt="V této buňce je kalendářní měsíc. V buňkách R21 až X27 se automaticky aktualizuje kalendář na tento měsíc." sqref="AE22:AP22" xr:uid="{11BDADB2-D414-4071-8769-0A94C946D0B2}"/>
    <dataValidation allowBlank="1" showInputMessage="1" showErrorMessage="1" prompt="V této buňce je kalendářní měsíc. V buňkách Z21 až AF27 se automaticky aktualizuje kalendář na tento měsíc." sqref="AS22:BD22" xr:uid="{BC39E35E-D437-41A9-9DD0-5C54325C753F}"/>
    <dataValidation allowBlank="1" showInputMessage="1" showErrorMessage="1" prompt="V buňkách B4 až H9 se automaticky aktualizují kalendářní dny pro tento měsíc." sqref="C6:D6" xr:uid="{9DB9D546-F1E3-4FEA-85BE-AD1A557CB476}"/>
    <dataValidation allowBlank="1" showInputMessage="1" showErrorMessage="1" prompt="V buňkách J4 až P9 se automaticky aktualizují kalendářní dny pro tento měsíc." sqref="Q6:R6" xr:uid="{B3C574E1-EE75-4193-9311-1D11AF708D2B}"/>
    <dataValidation allowBlank="1" showInputMessage="1" showErrorMessage="1" prompt="V buňkách R4 až X9 se automaticky aktualizují kalendářní dny pro tento měsíc." sqref="AE6:AF6" xr:uid="{D627AAEA-F1A6-4769-89BA-850982C305D4}"/>
    <dataValidation allowBlank="1" showInputMessage="1" showErrorMessage="1" prompt="V buňkách Z4 až AF9 se automaticky aktualizují kalendářní dny pro tento měsíc." sqref="AS6:AT6" xr:uid="{8C6CBB46-296E-4AB8-873F-7DEA6B700E2E}"/>
    <dataValidation allowBlank="1" showInputMessage="1" showErrorMessage="1" prompt="V buňkách B13 až H18 se automaticky aktualizují kalendářní dny pro tento měsíc." sqref="C15:D15" xr:uid="{AA2BC5C5-EA78-4B47-85CC-F2620A9011C6}"/>
    <dataValidation allowBlank="1" showInputMessage="1" showErrorMessage="1" prompt="V buňkách J13 až P18 se automaticky aktualizují kalendářní dny pro tento měsíc." sqref="Q15:R15" xr:uid="{113D75C2-8CE8-4850-8059-892577204FFC}"/>
    <dataValidation allowBlank="1" showInputMessage="1" showErrorMessage="1" prompt="V buňkách R13 až X18 se automaticky aktualizují kalendářní dny pro tento měsíc." sqref="AE15:AF15" xr:uid="{9CB09847-E219-4B22-B08F-C783AA66E5A8}"/>
    <dataValidation allowBlank="1" showInputMessage="1" showErrorMessage="1" prompt="V buňkách Z13 až AF18 se automaticky aktualizují kalendářní dny pro tento měsíc." sqref="AS15:AT15" xr:uid="{E06FB165-7619-4DF5-BCA5-DC01967663EE}"/>
    <dataValidation allowBlank="1" showInputMessage="1" showErrorMessage="1" prompt="V buňkách B22 až H27 se automaticky aktualizují kalendářní dny pro tento měsíc." sqref="C24:D24" xr:uid="{43027EA0-7FB2-49CD-96A6-23382C88F908}"/>
    <dataValidation allowBlank="1" showInputMessage="1" showErrorMessage="1" prompt="V buňkách J22 až P27 se automaticky aktualizují kalendářní dny pro tento měsíc." sqref="Q24:R24" xr:uid="{3EC90838-28C1-46CD-88A5-8A9D7094CD64}"/>
    <dataValidation allowBlank="1" showInputMessage="1" showErrorMessage="1" prompt="V buňkách R22 až X27 se automaticky aktualizují kalendářní dny pro tento měsíc." sqref="AE24:AF25" xr:uid="{323E2721-300B-47B3-A12A-C1AED2D8A649}"/>
    <dataValidation allowBlank="1" showInputMessage="1" showErrorMessage="1" prompt="V buňkách Z22 až AF27 se automaticky aktualizují kalendářní dny pro tento měsíc." sqref="AS24:AT25" xr:uid="{0FCAC042-A0F3-48C8-BD7A-118AD4A3750D}"/>
    <dataValidation allowBlank="1" showInputMessage="1" showErrorMessage="1" prompt="Veckodagar för månaden i cellen ovan finns i cellerna B3 till H3" sqref="C4:D5" xr:uid="{8CFD52AA-512C-43A6-922B-149E7AC21379}"/>
    <dataValidation allowBlank="1" showInputMessage="1" showErrorMessage="1" prompt="Veckodagar för månaden i cellen ovan finns i cellerna J3 till P3" sqref="Q4:R5" xr:uid="{493FF099-52C9-4AB6-81A9-A9899975EE4D}"/>
    <dataValidation allowBlank="1" showInputMessage="1" showErrorMessage="1" prompt="Veckodagar för månaden i cellen ovan finns i cellerna R3 till X3" sqref="AE4:AF5" xr:uid="{711CD640-8354-41A1-8180-2293B22B26A8}"/>
    <dataValidation allowBlank="1" showInputMessage="1" showErrorMessage="1" prompt="Veckodagar för månaden i cellen ovan finns i cellerna Z3 till AF3" sqref="AS4:AT5" xr:uid="{C7A882C5-E844-4A35-BC2F-CBB0823AF1C6}"/>
    <dataValidation allowBlank="1" showInputMessage="1" showErrorMessage="1" prompt="Veckodagar för månaden i cellen ovan finns i cell B12 till H12" sqref="C14:D14" xr:uid="{1EC9B845-8CD5-4A0D-B281-07806A95B522}"/>
    <dataValidation allowBlank="1" showInputMessage="1" showErrorMessage="1" prompt="Veckodagar för månaden i cellen ovan finns i cellerna J12 till P12" sqref="Q14:R14" xr:uid="{7076F54B-4E07-4F11-9D0A-D42E123A5231}"/>
    <dataValidation allowBlank="1" showInputMessage="1" showErrorMessage="1" prompt="Veckodagar för månaden i cellen ovan finns i cell R12 till X12" sqref="AE14:AF14" xr:uid="{319DAAC8-E68D-4A75-90BF-122B45360D03}"/>
    <dataValidation allowBlank="1" showInputMessage="1" showErrorMessage="1" prompt="Veckodagar för månaden i cellen ovan finns i cell Z12 till AF12" sqref="AS14:AT14" xr:uid="{8CCF0D6A-F626-4F7A-B5BC-CD6B3786377B}"/>
    <dataValidation allowBlank="1" showInputMessage="1" showErrorMessage="1" prompt="Veckodagar för månaden i cellen ovan finns i cellerna B21 till H21" sqref="C23:D23" xr:uid="{16CA2D00-CB84-4472-B2EE-D91C0F73019D}"/>
    <dataValidation allowBlank="1" showInputMessage="1" showErrorMessage="1" prompt="Veckodagar för månaden i cellen ovan finns i cellerna J21 till P21" sqref="Q23:R23" xr:uid="{CF3EBC57-A3C6-46BB-822E-2BD520331ABD}"/>
    <dataValidation allowBlank="1" showInputMessage="1" showErrorMessage="1" prompt="Veckodagar för månaden i cellen ovan finns i cellerna R21 till X21" sqref="AE23:AF23" xr:uid="{C708D0F0-29DD-4099-B4F5-F192D46CFD55}"/>
    <dataValidation allowBlank="1" showInputMessage="1" showErrorMessage="1" prompt="Veckodagar för månaden i cellen ovan finns i cellerna Z21 till AF21" sqref="AS23:AT23" xr:uid="{CA3ED42F-A981-45DB-80B9-E7CE526D1922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Ruzickova Ruzena</dc:creator>
  <cp:lastModifiedBy>Ruzickova Ruzena</cp:lastModifiedBy>
  <dcterms:created xsi:type="dcterms:W3CDTF">2024-04-12T05:40:09Z</dcterms:created>
  <dcterms:modified xsi:type="dcterms:W3CDTF">2024-04-12T07:54:14Z</dcterms:modified>
</cp:coreProperties>
</file>